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410" windowHeight="5085" activeTab="0"/>
  </bookViews>
  <sheets>
    <sheet name="Resource" sheetId="1" r:id="rId1"/>
    <sheet name="Production Forecas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<sst xmlns="http://schemas.openxmlformats.org/spreadsheetml/2006/main" count="388" uniqueCount="210">
  <si>
    <t>RESOURCE BASED PRODUCTION FORECAST</t>
  </si>
  <si>
    <t>Revised</t>
  </si>
  <si>
    <t>Regular Oil by Country</t>
  </si>
  <si>
    <t>Regular Oil by Region</t>
  </si>
  <si>
    <t>Mb/d</t>
  </si>
  <si>
    <t>Russia</t>
  </si>
  <si>
    <t>ME GULF</t>
  </si>
  <si>
    <t>Saudi Arabia</t>
  </si>
  <si>
    <t>EURASIA</t>
  </si>
  <si>
    <t>Iran</t>
  </si>
  <si>
    <t>N.AMERICA</t>
  </si>
  <si>
    <t>China</t>
  </si>
  <si>
    <t>L.AMERICA</t>
  </si>
  <si>
    <t>USA</t>
  </si>
  <si>
    <t>AFRICA</t>
  </si>
  <si>
    <t>Mexico</t>
  </si>
  <si>
    <t>EUROPE</t>
  </si>
  <si>
    <t>Norway</t>
  </si>
  <si>
    <t>ME OTHER</t>
  </si>
  <si>
    <t>Nigeria</t>
  </si>
  <si>
    <t>THE EAST</t>
  </si>
  <si>
    <t>Kuwait</t>
  </si>
  <si>
    <t>Minor</t>
  </si>
  <si>
    <t>Abu Dhabi</t>
  </si>
  <si>
    <t>Unforeseen</t>
  </si>
  <si>
    <t>UK</t>
  </si>
  <si>
    <t>Non MEast</t>
  </si>
  <si>
    <t>Iraq</t>
  </si>
  <si>
    <t>MEGulf Share</t>
  </si>
  <si>
    <t>Venezuela</t>
  </si>
  <si>
    <t>WORLD</t>
  </si>
  <si>
    <t>Libya</t>
  </si>
  <si>
    <t>Excl. bitumen, heavy, deepwater, polar, NGL</t>
  </si>
  <si>
    <t>Algeria</t>
  </si>
  <si>
    <t>Other Liquid Petroleum</t>
  </si>
  <si>
    <t>Canada</t>
  </si>
  <si>
    <t>Oil</t>
  </si>
  <si>
    <t>Kazakhstan</t>
  </si>
  <si>
    <t>Heavy Oils (#1)</t>
  </si>
  <si>
    <t>Indonesia</t>
  </si>
  <si>
    <t>Malaysia</t>
  </si>
  <si>
    <t>Venezuela I</t>
  </si>
  <si>
    <t>Qatar</t>
  </si>
  <si>
    <t>Venezuela II</t>
  </si>
  <si>
    <t>Oman</t>
  </si>
  <si>
    <t>Other</t>
  </si>
  <si>
    <t>Egypt</t>
  </si>
  <si>
    <t>Deepwater (#2)</t>
  </si>
  <si>
    <t>India</t>
  </si>
  <si>
    <t>G. Mexico</t>
  </si>
  <si>
    <t>Argentina</t>
  </si>
  <si>
    <t>Brasil</t>
  </si>
  <si>
    <t>Angola</t>
  </si>
  <si>
    <t>N.Zone</t>
  </si>
  <si>
    <t>Colombia</t>
  </si>
  <si>
    <t>Ecuador</t>
  </si>
  <si>
    <t>Polar</t>
  </si>
  <si>
    <t>Syria</t>
  </si>
  <si>
    <t>Alaska</t>
  </si>
  <si>
    <t>Australia</t>
  </si>
  <si>
    <t>Azerbaijan</t>
  </si>
  <si>
    <t>Other (#3)</t>
  </si>
  <si>
    <t>Denmark</t>
  </si>
  <si>
    <t>Subtotal</t>
  </si>
  <si>
    <t>Dubai</t>
  </si>
  <si>
    <t>Gas &amp; Gas Liquids</t>
  </si>
  <si>
    <t>(Gas at 6cf=1boe)</t>
  </si>
  <si>
    <t>Yemen</t>
  </si>
  <si>
    <t>Gas</t>
  </si>
  <si>
    <t>Vietnam</t>
  </si>
  <si>
    <t xml:space="preserve">Non-con gas </t>
  </si>
  <si>
    <t>Sudan</t>
  </si>
  <si>
    <t>Gas Liquids</t>
  </si>
  <si>
    <t>Congo</t>
  </si>
  <si>
    <t>NGL (#4)</t>
  </si>
  <si>
    <t>Gabon</t>
  </si>
  <si>
    <t>All Categories</t>
  </si>
  <si>
    <t>Turkmenistan</t>
  </si>
  <si>
    <t xml:space="preserve">Gas </t>
  </si>
  <si>
    <t>Brunei</t>
  </si>
  <si>
    <t xml:space="preserve">Liquids </t>
  </si>
  <si>
    <t>Chad</t>
  </si>
  <si>
    <t>Processing Gain</t>
  </si>
  <si>
    <t>Thailand</t>
  </si>
  <si>
    <t>Total</t>
  </si>
  <si>
    <t>Uzbekistan</t>
  </si>
  <si>
    <t xml:space="preserve">Balance </t>
  </si>
  <si>
    <t>Demand at +1.5%yr</t>
  </si>
  <si>
    <t>Trinidad</t>
  </si>
  <si>
    <t>Liquids Mb/d</t>
  </si>
  <si>
    <t>Italy</t>
  </si>
  <si>
    <t>Supply</t>
  </si>
  <si>
    <t>Peru</t>
  </si>
  <si>
    <t>Demand</t>
  </si>
  <si>
    <t>Romania</t>
  </si>
  <si>
    <t>Ukraine</t>
  </si>
  <si>
    <t>NOTES</t>
  </si>
  <si>
    <t>Cameroon</t>
  </si>
  <si>
    <t>Regular Oil includes condensate (in oilfields)</t>
  </si>
  <si>
    <t>Tunisia</t>
  </si>
  <si>
    <t>(#1) Bitumen, Extra-Heavy Oil, Heavy Oil (&lt;17.5)</t>
  </si>
  <si>
    <t>Germany</t>
  </si>
  <si>
    <t>(#2) Oil in water depth of more than 500m</t>
  </si>
  <si>
    <t>Pakistan</t>
  </si>
  <si>
    <t xml:space="preserve">(#3) Oil from oil-shales, coal  </t>
  </si>
  <si>
    <t>Sharjah</t>
  </si>
  <si>
    <t>(#4) Liquids from Natural Gas plants &amp; gasfields</t>
  </si>
  <si>
    <t>Papua</t>
  </si>
  <si>
    <t xml:space="preserve">Base Case Scenario assumes negligable spare </t>
  </si>
  <si>
    <t>Netherlands</t>
  </si>
  <si>
    <t>capacity with decline at current or midpoint depletion</t>
  </si>
  <si>
    <t>Turkey</t>
  </si>
  <si>
    <t>rate, save in Middle East Gulf</t>
  </si>
  <si>
    <t>Bolivia</t>
  </si>
  <si>
    <t>ME-Gulf = A.Dhabi, Iran, Iraq, Kuwait, NZ, S.Arabia</t>
  </si>
  <si>
    <t>Bahrain</t>
  </si>
  <si>
    <t>Eurasia= FSU, E.Europe &amp; China</t>
  </si>
  <si>
    <t>France</t>
  </si>
  <si>
    <t>N.America = USA &amp; Canada</t>
  </si>
  <si>
    <t>Hungary</t>
  </si>
  <si>
    <t>Venezuela I = ordinary heavy</t>
  </si>
  <si>
    <t>Croatia</t>
  </si>
  <si>
    <t>Venezuela II = 4 Extra-Heavy oil projects</t>
  </si>
  <si>
    <t>Austria</t>
  </si>
  <si>
    <t xml:space="preserve">Demand is based on a notional increase of 1.5% a  </t>
  </si>
  <si>
    <t>Chile</t>
  </si>
  <si>
    <t xml:space="preserve">a year, which is unlikely to be met as shortages </t>
  </si>
  <si>
    <t>Albania</t>
  </si>
  <si>
    <t>grow and prices soar.</t>
  </si>
  <si>
    <t>REGULAR CONVENTIONAL OIL PRODUCTION TO 2100</t>
  </si>
  <si>
    <t>Reference Date: end</t>
  </si>
  <si>
    <t>(Excluding heavy, deepwater and polar oils, and NGL)</t>
  </si>
  <si>
    <t>Region</t>
  </si>
  <si>
    <t>KNOWN FIELDS</t>
  </si>
  <si>
    <t>NEW</t>
  </si>
  <si>
    <t>ALL</t>
  </si>
  <si>
    <t>TOTAL</t>
  </si>
  <si>
    <t>DEPLETION</t>
  </si>
  <si>
    <t>PEAK</t>
  </si>
  <si>
    <t>Present</t>
  </si>
  <si>
    <t>Past</t>
  </si>
  <si>
    <t>Reported Reserves</t>
  </si>
  <si>
    <t>Future</t>
  </si>
  <si>
    <t>FIELDS</t>
  </si>
  <si>
    <t>FUTURE</t>
  </si>
  <si>
    <t>kb/d</t>
  </si>
  <si>
    <t>Gb/a</t>
  </si>
  <si>
    <t xml:space="preserve">5yr </t>
  </si>
  <si>
    <t>Disc</t>
  </si>
  <si>
    <t>Average</t>
  </si>
  <si>
    <t>Deductions</t>
  </si>
  <si>
    <t>%</t>
  </si>
  <si>
    <t>Found</t>
  </si>
  <si>
    <t>Rate</t>
  </si>
  <si>
    <t>Mid</t>
  </si>
  <si>
    <t>Country</t>
  </si>
  <si>
    <t>Gb</t>
  </si>
  <si>
    <t>Trend</t>
  </si>
  <si>
    <t>Static</t>
  </si>
  <si>
    <t>Disc.</t>
  </si>
  <si>
    <t>Point</t>
  </si>
  <si>
    <t>Prod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</si>
  <si>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</si>
  <si>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</si>
  <si>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</si>
  <si>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</si>
  <si>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</si>
  <si>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</si>
  <si>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</si>
  <si>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</si>
  <si>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</si>
  <si>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</si>
  <si>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</si>
  <si>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</si>
  <si>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</si>
  <si>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</si>
  <si>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</si>
  <si>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</si>
  <si>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</si>
  <si>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</si>
  <si>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Regions</t>
  </si>
  <si>
    <t>M.East Gulf</t>
  </si>
  <si>
    <t>Eurasia</t>
  </si>
  <si>
    <t>N.America</t>
  </si>
  <si>
    <t>L.America</t>
  </si>
  <si>
    <t>Africa</t>
  </si>
  <si>
    <t>The East</t>
  </si>
  <si>
    <t>Europe</t>
  </si>
  <si>
    <t>M.East Other</t>
  </si>
  <si>
    <t>Non-M.East</t>
  </si>
  <si>
    <t>Notes</t>
  </si>
  <si>
    <t>by Column</t>
  </si>
  <si>
    <t>Present production (kb/d)</t>
  </si>
  <si>
    <t>Present production Gb/a (Billion barrels a year)</t>
  </si>
  <si>
    <t>Total past through 2005</t>
  </si>
  <si>
    <t>5 yr trend in production</t>
  </si>
  <si>
    <t>Discovery in 2005 (Gb)</t>
  </si>
  <si>
    <t xml:space="preserve">Av. Published Proved Reserves (O&amp;GJ, World Oil, BP, OPEC etc) </t>
  </si>
  <si>
    <t>Total production through period of unchanged O&amp;GJ report</t>
  </si>
  <si>
    <t>Identified Non-Conventional</t>
  </si>
  <si>
    <t>Percent discovered</t>
  </si>
  <si>
    <t>Total future production from known fields ("Reserves")</t>
  </si>
  <si>
    <t>Total found through 2005</t>
  </si>
  <si>
    <t>Total Yet-to-Find in new fields</t>
  </si>
  <si>
    <t>Total future production from known fields ("Reserves") and new finds</t>
  </si>
  <si>
    <t>Total to be produced by 2100</t>
  </si>
  <si>
    <t xml:space="preserve">Annual production as a percent of remaining </t>
  </si>
  <si>
    <t>Date of depletion midpoint ( N/2)</t>
  </si>
  <si>
    <t>Date of maximum discovery</t>
  </si>
  <si>
    <t>Date of peak production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</si>
</sst>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;@"/>
    <numFmt numFmtId="174" formatCode="0.0%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6">
    <border>
      <left/>
      <right/>
      <top/>
      <bottom/>
      <diagonal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ck"/>
      <top style="thin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0" fillId="0" borderId="4" xfId="0" applyBorder="1" applyAlignment="1">
      <alignment/>
    </xf>
    <xf numFmtId="14" fontId="0" fillId="0" borderId="0" xfId="0" applyNumberFormat="1" applyBorder="1" applyAlignment="1">
      <alignment horizontal="left"/>
    </xf>
    <xf numFmtId="0" fontId="0" fillId="0" borderId="5" xfId="0" applyBorder="1" applyAlignment="1">
      <alignment/>
    </xf>
    <xf numFmtId="0" fontId="2" fillId="0" borderId="6" xfId="0" applyFont="1" applyFill="1" applyBorder="1" applyAlignment="1">
      <alignment horizontal="centerContinuous"/>
    </xf>
    <xf numFmtId="0" fontId="0" fillId="0" borderId="7" xfId="0" applyFill="1" applyBorder="1" applyAlignment="1">
      <alignment horizontal="centerContinuous"/>
    </xf>
    <xf numFmtId="0" fontId="0" fillId="0" borderId="8" xfId="0" applyFill="1" applyBorder="1" applyAlignment="1">
      <alignment horizontal="centerContinuous"/>
    </xf>
    <xf numFmtId="0" fontId="2" fillId="0" borderId="7" xfId="0" applyFont="1" applyFill="1" applyBorder="1" applyAlignment="1">
      <alignment horizontal="centerContinuous"/>
    </xf>
    <xf numFmtId="0" fontId="0" fillId="0" borderId="9" xfId="0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172" fontId="0" fillId="0" borderId="13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172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2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7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172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72" fontId="0" fillId="0" borderId="5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7" xfId="0" applyNumberFormat="1" applyFont="1" applyFill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172" fontId="0" fillId="0" borderId="8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2" fontId="0" fillId="0" borderId="20" xfId="0" applyNumberFormat="1" applyFont="1" applyBorder="1" applyAlignment="1">
      <alignment horizontal="center"/>
    </xf>
    <xf numFmtId="172" fontId="0" fillId="0" borderId="21" xfId="0" applyNumberFormat="1" applyFont="1" applyFill="1" applyBorder="1" applyAlignment="1">
      <alignment horizontal="center"/>
    </xf>
    <xf numFmtId="0" fontId="0" fillId="0" borderId="8" xfId="0" applyFill="1" applyBorder="1" applyAlignment="1">
      <alignment/>
    </xf>
    <xf numFmtId="1" fontId="0" fillId="0" borderId="7" xfId="0" applyNumberFormat="1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9" fontId="0" fillId="0" borderId="0" xfId="0" applyNumberFormat="1" applyFill="1" applyAlignment="1">
      <alignment horizontal="center"/>
    </xf>
    <xf numFmtId="9" fontId="0" fillId="0" borderId="21" xfId="0" applyNumberForma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7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5" xfId="0" applyFont="1" applyFill="1" applyBorder="1" applyAlignment="1">
      <alignment horizontal="centerContinuous"/>
    </xf>
    <xf numFmtId="0" fontId="0" fillId="0" borderId="25" xfId="0" applyFill="1" applyBorder="1" applyAlignment="1">
      <alignment horizontal="centerContinuous"/>
    </xf>
    <xf numFmtId="0" fontId="2" fillId="0" borderId="27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28" xfId="0" applyFill="1" applyBorder="1" applyAlignment="1">
      <alignment/>
    </xf>
    <xf numFmtId="172" fontId="2" fillId="0" borderId="0" xfId="0" applyNumberFormat="1" applyFont="1" applyBorder="1" applyAlignment="1">
      <alignment horizontal="center"/>
    </xf>
    <xf numFmtId="172" fontId="2" fillId="0" borderId="5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2" fontId="0" fillId="0" borderId="7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/>
    </xf>
    <xf numFmtId="172" fontId="2" fillId="0" borderId="30" xfId="0" applyNumberFormat="1" applyFont="1" applyFill="1" applyBorder="1" applyAlignment="1">
      <alignment horizontal="center"/>
    </xf>
    <xf numFmtId="172" fontId="2" fillId="0" borderId="9" xfId="0" applyNumberFormat="1" applyFont="1" applyFill="1" applyBorder="1" applyAlignment="1">
      <alignment horizontal="center"/>
    </xf>
    <xf numFmtId="172" fontId="0" fillId="0" borderId="5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172" fontId="0" fillId="0" borderId="24" xfId="0" applyNumberFormat="1" applyFont="1" applyFill="1" applyBorder="1" applyAlignment="1">
      <alignment horizontal="center"/>
    </xf>
    <xf numFmtId="0" fontId="0" fillId="0" borderId="32" xfId="0" applyFill="1" applyBorder="1" applyAlignment="1">
      <alignment/>
    </xf>
    <xf numFmtId="1" fontId="2" fillId="0" borderId="25" xfId="0" applyNumberFormat="1" applyFont="1" applyFill="1" applyBorder="1" applyAlignment="1">
      <alignment horizontal="center"/>
    </xf>
    <xf numFmtId="1" fontId="2" fillId="0" borderId="26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1" fontId="2" fillId="0" borderId="36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6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38" xfId="0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 horizontal="center"/>
    </xf>
    <xf numFmtId="2" fontId="0" fillId="0" borderId="40" xfId="0" applyNumberFormat="1" applyFont="1" applyFill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42" xfId="0" applyNumberFormat="1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5" xfId="0" applyFont="1" applyBorder="1" applyAlignment="1">
      <alignment horizontal="centerContinuous"/>
    </xf>
    <xf numFmtId="0" fontId="0" fillId="0" borderId="45" xfId="0" applyBorder="1" applyAlignment="1">
      <alignment horizontal="centerContinuous"/>
    </xf>
    <xf numFmtId="0" fontId="3" fillId="0" borderId="46" xfId="0" applyFont="1" applyBorder="1" applyAlignment="1">
      <alignment/>
    </xf>
    <xf numFmtId="0" fontId="0" fillId="0" borderId="0" xfId="0" applyBorder="1" applyAlignment="1">
      <alignment horizontal="left" textRotation="90"/>
    </xf>
    <xf numFmtId="0" fontId="0" fillId="0" borderId="0" xfId="0" applyBorder="1" applyAlignment="1">
      <alignment horizontal="centerContinuous"/>
    </xf>
    <xf numFmtId="173" fontId="3" fillId="0" borderId="0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2" fillId="0" borderId="47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2" fillId="0" borderId="2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9" xfId="0" applyFont="1" applyBorder="1" applyAlignment="1">
      <alignment horizontal="centerContinuous"/>
    </xf>
    <xf numFmtId="0" fontId="2" fillId="0" borderId="50" xfId="0" applyFont="1" applyBorder="1" applyAlignment="1">
      <alignment horizontal="centerContinuous"/>
    </xf>
    <xf numFmtId="0" fontId="2" fillId="0" borderId="51" xfId="0" applyFont="1" applyBorder="1" applyAlignment="1">
      <alignment horizontal="center"/>
    </xf>
    <xf numFmtId="0" fontId="0" fillId="0" borderId="50" xfId="0" applyBorder="1" applyAlignment="1">
      <alignment/>
    </xf>
    <xf numFmtId="0" fontId="2" fillId="0" borderId="52" xfId="0" applyFont="1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53" xfId="0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7" xfId="0" applyBorder="1" applyAlignment="1">
      <alignment horizontal="centerContinuous"/>
    </xf>
    <xf numFmtId="0" fontId="2" fillId="0" borderId="5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38" xfId="0" applyNumberFormat="1" applyBorder="1" applyAlignment="1">
      <alignment horizontal="center"/>
    </xf>
    <xf numFmtId="1" fontId="2" fillId="0" borderId="54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2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4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2" fontId="2" fillId="0" borderId="54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67" xfId="0" applyNumberFormat="1" applyBorder="1" applyAlignment="1">
      <alignment horizontal="center"/>
    </xf>
    <xf numFmtId="172" fontId="2" fillId="0" borderId="68" xfId="0" applyNumberFormat="1" applyFon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2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74" fontId="0" fillId="0" borderId="6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4" xfId="0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72" fontId="0" fillId="0" borderId="55" xfId="0" applyNumberFormat="1" applyBorder="1" applyAlignment="1">
      <alignment horizontal="center"/>
    </xf>
    <xf numFmtId="172" fontId="0" fillId="0" borderId="33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0" fontId="2" fillId="0" borderId="69" xfId="0" applyFont="1" applyBorder="1" applyAlignment="1">
      <alignment/>
    </xf>
    <xf numFmtId="0" fontId="0" fillId="0" borderId="70" xfId="0" applyBorder="1" applyAlignment="1">
      <alignment horizontal="center"/>
    </xf>
    <xf numFmtId="1" fontId="0" fillId="0" borderId="71" xfId="0" applyNumberFormat="1" applyBorder="1" applyAlignment="1">
      <alignment horizontal="center"/>
    </xf>
    <xf numFmtId="2" fontId="0" fillId="0" borderId="72" xfId="0" applyNumberFormat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9" fontId="0" fillId="0" borderId="72" xfId="0" applyNumberFormat="1" applyBorder="1" applyAlignment="1">
      <alignment horizontal="center"/>
    </xf>
    <xf numFmtId="172" fontId="0" fillId="0" borderId="72" xfId="0" applyNumberFormat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74" fontId="0" fillId="0" borderId="71" xfId="0" applyNumberFormat="1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6" xfId="0" applyBorder="1" applyAlignment="1">
      <alignment/>
    </xf>
    <xf numFmtId="1" fontId="2" fillId="0" borderId="68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31" xfId="0" applyBorder="1" applyAlignment="1">
      <alignment/>
    </xf>
    <xf numFmtId="9" fontId="0" fillId="0" borderId="33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1" fontId="0" fillId="0" borderId="0" xfId="0" applyNumberFormat="1" applyAlignment="1">
      <alignment horizontal="center"/>
    </xf>
    <xf numFmtId="9" fontId="0" fillId="0" borderId="78" xfId="0" applyNumberFormat="1" applyBorder="1" applyAlignment="1">
      <alignment horizontal="center"/>
    </xf>
    <xf numFmtId="1" fontId="0" fillId="0" borderId="79" xfId="0" applyNumberFormat="1" applyBorder="1" applyAlignment="1">
      <alignment horizontal="center"/>
    </xf>
    <xf numFmtId="1" fontId="0" fillId="0" borderId="78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9" fontId="0" fillId="0" borderId="54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80" xfId="0" applyNumberFormat="1" applyBorder="1" applyAlignment="1">
      <alignment horizontal="center"/>
    </xf>
    <xf numFmtId="1" fontId="0" fillId="0" borderId="81" xfId="0" applyNumberFormat="1" applyBorder="1" applyAlignment="1">
      <alignment horizontal="center"/>
    </xf>
    <xf numFmtId="9" fontId="0" fillId="0" borderId="81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1" fontId="0" fillId="0" borderId="83" xfId="0" applyNumberFormat="1" applyBorder="1" applyAlignment="1">
      <alignment horizontal="center"/>
    </xf>
    <xf numFmtId="9" fontId="0" fillId="0" borderId="83" xfId="0" applyNumberFormat="1" applyBorder="1" applyAlignment="1">
      <alignment horizontal="center"/>
    </xf>
    <xf numFmtId="1" fontId="0" fillId="0" borderId="84" xfId="0" applyNumberFormat="1" applyBorder="1" applyAlignment="1">
      <alignment horizontal="center"/>
    </xf>
    <xf numFmtId="174" fontId="0" fillId="0" borderId="85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85" xfId="0" applyNumberFormat="1" applyBorder="1" applyAlignment="1">
      <alignment horizontal="center"/>
    </xf>
    <xf numFmtId="1" fontId="0" fillId="0" borderId="86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87" xfId="0" applyNumberFormat="1" applyBorder="1" applyAlignment="1">
      <alignment horizontal="center"/>
    </xf>
    <xf numFmtId="9" fontId="0" fillId="0" borderId="87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74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0" fillId="0" borderId="47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2" fillId="0" borderId="4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74" fontId="0" fillId="0" borderId="88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89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58" xfId="0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0" fillId="0" borderId="38" xfId="0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88" xfId="0" applyBorder="1" applyAlignment="1">
      <alignment/>
    </xf>
    <xf numFmtId="0" fontId="0" fillId="0" borderId="55" xfId="0" applyBorder="1" applyAlignment="1">
      <alignment/>
    </xf>
    <xf numFmtId="0" fontId="0" fillId="0" borderId="60" xfId="0" applyBorder="1" applyAlignment="1">
      <alignment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3" fillId="0" borderId="94" xfId="0" applyFont="1" applyBorder="1" applyAlignment="1">
      <alignment horizontal="right"/>
    </xf>
    <xf numFmtId="0" fontId="3" fillId="0" borderId="95" xfId="0" applyFont="1" applyBorder="1" applyAlignment="1">
      <alignment horizontal="right"/>
    </xf>
    <xf numFmtId="0" fontId="3" fillId="0" borderId="81" xfId="0" applyFont="1" applyBorder="1" applyAlignment="1">
      <alignment horizontal="right"/>
    </xf>
    <xf numFmtId="0" fontId="3" fillId="0" borderId="80" xfId="0" applyFont="1" applyBorder="1" applyAlignment="1">
      <alignment horizontal="right"/>
    </xf>
    <xf numFmtId="0" fontId="0" fillId="0" borderId="27" xfId="0" applyBorder="1" applyAlignment="1">
      <alignment textRotation="90"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0" fontId="2" fillId="0" borderId="2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6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Chart1"/>
    </sheetNames>
    <sheetDataSet>
      <sheetData sheetId="8">
        <row r="75">
          <cell r="C7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workbookViewId="0" topLeftCell="A1">
      <pane ySplit="2115" topLeftCell="BM8" activePane="bottomLeft" state="split"/>
      <selection pane="topLeft" activeCell="A1" sqref="A1"/>
      <selection pane="bottomLeft" activeCell="P85" sqref="P85"/>
    </sheetView>
  </sheetViews>
  <sheetFormatPr defaultColWidth="9.140625" defaultRowHeight="12.75"/>
  <cols>
    <col min="1" max="1" width="11.8515625" style="0" customWidth="1"/>
    <col min="2" max="2" width="3.57421875" style="0" customWidth="1"/>
    <col min="3" max="3" width="7.28125" style="0" customWidth="1"/>
    <col min="4" max="4" width="7.140625" style="0" customWidth="1"/>
    <col min="5" max="5" width="7.57421875" style="0" customWidth="1"/>
    <col min="6" max="6" width="6.421875" style="0" customWidth="1"/>
    <col min="7" max="7" width="7.421875" style="0" customWidth="1"/>
    <col min="8" max="8" width="7.7109375" style="0" customWidth="1"/>
    <col min="9" max="9" width="6.7109375" style="0" customWidth="1"/>
    <col min="10" max="10" width="6.28125" style="0" customWidth="1"/>
    <col min="11" max="11" width="5.421875" style="0" customWidth="1"/>
    <col min="12" max="12" width="7.57421875" style="0" customWidth="1"/>
    <col min="13" max="13" width="8.00390625" style="0" customWidth="1"/>
    <col min="14" max="14" width="8.28125" style="0" customWidth="1"/>
    <col min="16" max="16" width="7.140625" style="0" customWidth="1"/>
    <col min="17" max="17" width="6.421875" style="0" customWidth="1"/>
    <col min="18" max="18" width="6.57421875" style="0" customWidth="1"/>
    <col min="19" max="19" width="6.00390625" style="0" customWidth="1"/>
    <col min="20" max="20" width="5.8515625" style="0" customWidth="1"/>
  </cols>
  <sheetData>
    <row r="1" spans="1:20" ht="13.5" thickTop="1">
      <c r="A1" s="131"/>
      <c r="B1" s="132"/>
      <c r="C1" s="132"/>
      <c r="D1" s="132"/>
      <c r="E1" s="132"/>
      <c r="F1" s="132"/>
      <c r="G1" s="132"/>
      <c r="H1" s="133" t="s">
        <v>129</v>
      </c>
      <c r="I1" s="134"/>
      <c r="J1" s="134"/>
      <c r="K1" s="134"/>
      <c r="L1" s="134"/>
      <c r="M1" s="134"/>
      <c r="N1" s="134"/>
      <c r="O1" s="134"/>
      <c r="P1" s="132"/>
      <c r="Q1" s="294" t="s">
        <v>130</v>
      </c>
      <c r="R1" s="295"/>
      <c r="S1" s="295"/>
      <c r="T1" s="135">
        <v>2005</v>
      </c>
    </row>
    <row r="2" spans="1:20" ht="13.5" thickBot="1">
      <c r="A2" s="4"/>
      <c r="B2" s="136"/>
      <c r="C2" s="63"/>
      <c r="D2" s="63"/>
      <c r="E2" s="63"/>
      <c r="F2" s="63"/>
      <c r="G2" s="63"/>
      <c r="H2" s="137" t="s">
        <v>131</v>
      </c>
      <c r="I2" s="137"/>
      <c r="J2" s="137"/>
      <c r="K2" s="137"/>
      <c r="L2" s="137"/>
      <c r="M2" s="137"/>
      <c r="N2" s="137"/>
      <c r="O2" s="137"/>
      <c r="P2" s="63"/>
      <c r="Q2" s="296" t="s">
        <v>1</v>
      </c>
      <c r="R2" s="297"/>
      <c r="S2" s="138">
        <v>38944</v>
      </c>
      <c r="T2" s="139"/>
    </row>
    <row r="3" spans="1:20" ht="13.5" customHeight="1" thickBot="1">
      <c r="A3" s="140"/>
      <c r="B3" s="298" t="s">
        <v>132</v>
      </c>
      <c r="C3" s="141" t="s">
        <v>133</v>
      </c>
      <c r="D3" s="142"/>
      <c r="E3" s="142"/>
      <c r="F3" s="142"/>
      <c r="G3" s="142"/>
      <c r="H3" s="142"/>
      <c r="I3" s="142"/>
      <c r="J3" s="142"/>
      <c r="K3" s="142"/>
      <c r="L3" s="142"/>
      <c r="M3" s="143"/>
      <c r="N3" s="144" t="s">
        <v>134</v>
      </c>
      <c r="O3" s="145" t="s">
        <v>135</v>
      </c>
      <c r="P3" s="301" t="s">
        <v>136</v>
      </c>
      <c r="Q3" s="303" t="s">
        <v>137</v>
      </c>
      <c r="R3" s="304"/>
      <c r="S3" s="303" t="s">
        <v>138</v>
      </c>
      <c r="T3" s="307"/>
    </row>
    <row r="4" spans="1:20" ht="13.5" thickBot="1">
      <c r="A4" s="4"/>
      <c r="B4" s="299"/>
      <c r="C4" s="146" t="s">
        <v>139</v>
      </c>
      <c r="D4" s="147"/>
      <c r="E4" s="148" t="s">
        <v>140</v>
      </c>
      <c r="F4" s="149"/>
      <c r="G4" s="149"/>
      <c r="H4" s="150" t="s">
        <v>141</v>
      </c>
      <c r="I4" s="151"/>
      <c r="J4" s="152"/>
      <c r="K4" s="149"/>
      <c r="L4" s="148" t="s">
        <v>142</v>
      </c>
      <c r="M4" s="153" t="s">
        <v>84</v>
      </c>
      <c r="N4" s="154" t="s">
        <v>143</v>
      </c>
      <c r="O4" s="155" t="s">
        <v>144</v>
      </c>
      <c r="P4" s="302"/>
      <c r="Q4" s="305"/>
      <c r="R4" s="306"/>
      <c r="S4" s="305"/>
      <c r="T4" s="308"/>
    </row>
    <row r="5" spans="1:20" ht="12.75">
      <c r="A5" s="4"/>
      <c r="B5" s="299"/>
      <c r="C5" s="156" t="s">
        <v>145</v>
      </c>
      <c r="D5" s="157" t="s">
        <v>146</v>
      </c>
      <c r="E5" s="158"/>
      <c r="F5" s="157" t="s">
        <v>147</v>
      </c>
      <c r="G5" s="157" t="s">
        <v>148</v>
      </c>
      <c r="H5" s="159" t="s">
        <v>149</v>
      </c>
      <c r="I5" s="137" t="s">
        <v>150</v>
      </c>
      <c r="J5" s="160"/>
      <c r="K5" s="157" t="s">
        <v>151</v>
      </c>
      <c r="L5" s="161"/>
      <c r="M5" s="162" t="s">
        <v>152</v>
      </c>
      <c r="N5" s="73"/>
      <c r="P5" s="73"/>
      <c r="Q5" s="163" t="s">
        <v>153</v>
      </c>
      <c r="R5" s="164" t="s">
        <v>154</v>
      </c>
      <c r="T5" s="6"/>
    </row>
    <row r="6" spans="1:20" ht="13.5" thickBot="1">
      <c r="A6" s="165" t="s">
        <v>155</v>
      </c>
      <c r="B6" s="300"/>
      <c r="C6" s="166">
        <v>2005</v>
      </c>
      <c r="D6" s="167">
        <v>2005</v>
      </c>
      <c r="E6" s="168" t="s">
        <v>156</v>
      </c>
      <c r="F6" s="167" t="s">
        <v>157</v>
      </c>
      <c r="G6" s="167">
        <v>2005</v>
      </c>
      <c r="H6" s="169"/>
      <c r="I6" s="167" t="s">
        <v>158</v>
      </c>
      <c r="J6" s="170" t="s">
        <v>45</v>
      </c>
      <c r="K6" s="167" t="s">
        <v>159</v>
      </c>
      <c r="L6" s="168" t="s">
        <v>156</v>
      </c>
      <c r="M6" s="171" t="s">
        <v>156</v>
      </c>
      <c r="N6" s="172" t="s">
        <v>156</v>
      </c>
      <c r="O6" s="167" t="s">
        <v>156</v>
      </c>
      <c r="P6" s="172" t="s">
        <v>156</v>
      </c>
      <c r="Q6" s="166"/>
      <c r="R6" s="171" t="s">
        <v>160</v>
      </c>
      <c r="S6" s="166" t="s">
        <v>148</v>
      </c>
      <c r="T6" s="173" t="s">
        <v>161</v>
      </c>
    </row>
    <row r="7" spans="1:20" ht="12.75">
      <c r="A7" s="174"/>
      <c r="B7" s="175"/>
      <c r="C7" s="176" t="s">
        <v>162</v>
      </c>
      <c r="D7" s="177" t="s">
        <v>163</v>
      </c>
      <c r="E7" s="178" t="s">
        <v>164</v>
      </c>
      <c r="F7" s="177" t="s">
        <v>165</v>
      </c>
      <c r="G7" s="177" t="s">
        <v>166</v>
      </c>
      <c r="H7" s="179" t="s">
        <v>167</v>
      </c>
      <c r="I7" s="177" t="s">
        <v>168</v>
      </c>
      <c r="J7" s="180" t="s">
        <v>169</v>
      </c>
      <c r="K7" s="177" t="s">
        <v>170</v>
      </c>
      <c r="L7" s="178" t="s">
        <v>171</v>
      </c>
      <c r="M7" s="181" t="s">
        <v>172</v>
      </c>
      <c r="N7" s="182" t="s">
        <v>173</v>
      </c>
      <c r="O7" s="177" t="s">
        <v>174</v>
      </c>
      <c r="P7" s="182" t="s">
        <v>175</v>
      </c>
      <c r="Q7" s="176" t="s">
        <v>176</v>
      </c>
      <c r="R7" s="181" t="s">
        <v>177</v>
      </c>
      <c r="S7" s="176" t="s">
        <v>178</v>
      </c>
      <c r="T7" s="183" t="s">
        <v>179</v>
      </c>
    </row>
    <row r="8" spans="1:20" ht="12.75">
      <c r="A8" s="184" t="s">
        <v>7</v>
      </c>
      <c r="B8" s="185" t="s">
        <v>162</v>
      </c>
      <c r="C8" s="186">
        <v>9155</v>
      </c>
      <c r="D8" s="117">
        <v>3.3415749999999997</v>
      </c>
      <c r="E8" s="187">
        <v>103.8208993</v>
      </c>
      <c r="F8" s="188">
        <v>0.037946718648473016</v>
      </c>
      <c r="G8" s="45">
        <v>0.3</v>
      </c>
      <c r="H8" s="189">
        <v>262.225</v>
      </c>
      <c r="I8" s="117">
        <v>0</v>
      </c>
      <c r="J8" s="190">
        <v>0</v>
      </c>
      <c r="K8" s="188">
        <v>0.9377530542909092</v>
      </c>
      <c r="L8" s="187">
        <v>154.06119063</v>
      </c>
      <c r="M8" s="191">
        <v>257.88208993</v>
      </c>
      <c r="N8" s="192">
        <v>17.117910069999994</v>
      </c>
      <c r="O8" s="45">
        <v>171.1791007</v>
      </c>
      <c r="P8" s="193">
        <v>275</v>
      </c>
      <c r="Q8" s="194">
        <v>0.019147158275642638</v>
      </c>
      <c r="R8" s="164">
        <v>2015</v>
      </c>
      <c r="S8" s="156">
        <v>1948</v>
      </c>
      <c r="T8" s="195">
        <v>2014</v>
      </c>
    </row>
    <row r="9" spans="1:20" ht="12.75">
      <c r="A9" s="184" t="s">
        <v>5</v>
      </c>
      <c r="B9" s="185" t="s">
        <v>163</v>
      </c>
      <c r="C9" s="186">
        <v>9215</v>
      </c>
      <c r="D9" s="117">
        <v>3.3634749999999998</v>
      </c>
      <c r="E9" s="187">
        <v>133.74496625</v>
      </c>
      <c r="F9" s="188">
        <v>0.07179683813119395</v>
      </c>
      <c r="G9" s="45">
        <v>0.7</v>
      </c>
      <c r="H9" s="189">
        <v>74.5925</v>
      </c>
      <c r="I9" s="117">
        <v>-9.6147205</v>
      </c>
      <c r="J9" s="190">
        <v>-37</v>
      </c>
      <c r="K9" s="188">
        <v>0.9188844144444445</v>
      </c>
      <c r="L9" s="196">
        <v>73.004027</v>
      </c>
      <c r="M9" s="191">
        <v>206.74899325</v>
      </c>
      <c r="N9" s="192">
        <v>18.251006750000002</v>
      </c>
      <c r="O9" s="45">
        <v>91.25503375</v>
      </c>
      <c r="P9" s="193">
        <v>225</v>
      </c>
      <c r="Q9" s="194">
        <v>0.03554774900212114</v>
      </c>
      <c r="R9" s="164">
        <v>1996</v>
      </c>
      <c r="S9" s="156">
        <v>1960</v>
      </c>
      <c r="T9" s="195">
        <v>1987</v>
      </c>
    </row>
    <row r="10" spans="1:20" ht="12.75">
      <c r="A10" s="184" t="s">
        <v>13</v>
      </c>
      <c r="B10" s="185" t="s">
        <v>164</v>
      </c>
      <c r="C10" s="186">
        <v>1083.9041217</v>
      </c>
      <c r="D10" s="117">
        <v>1.3095080107214092</v>
      </c>
      <c r="E10" s="187">
        <v>174.57939960652857</v>
      </c>
      <c r="F10" s="188">
        <v>-0.02785908380757613</v>
      </c>
      <c r="G10" s="45">
        <v>0.1</v>
      </c>
      <c r="H10" s="189">
        <v>24.28</v>
      </c>
      <c r="I10" s="117">
        <v>0</v>
      </c>
      <c r="J10" s="190">
        <v>-7.56</v>
      </c>
      <c r="K10" s="188">
        <v>0.9872896998032643</v>
      </c>
      <c r="L10" s="196">
        <v>22.87854035412429</v>
      </c>
      <c r="M10" s="191">
        <v>197.45793996065285</v>
      </c>
      <c r="N10" s="192">
        <v>1.8754187024999993</v>
      </c>
      <c r="O10" s="45">
        <v>25.42060039347143</v>
      </c>
      <c r="P10" s="193">
        <v>200</v>
      </c>
      <c r="Q10" s="194">
        <v>0.04899</v>
      </c>
      <c r="R10" s="164">
        <v>1971</v>
      </c>
      <c r="S10" s="156">
        <v>1930</v>
      </c>
      <c r="T10" s="195">
        <v>1971</v>
      </c>
    </row>
    <row r="11" spans="1:20" ht="12.75">
      <c r="A11" s="184" t="s">
        <v>9</v>
      </c>
      <c r="B11" s="185" t="s">
        <v>162</v>
      </c>
      <c r="C11" s="186">
        <v>3880</v>
      </c>
      <c r="D11" s="117">
        <v>1.4162</v>
      </c>
      <c r="E11" s="196">
        <v>58.597668999999996</v>
      </c>
      <c r="F11" s="188">
        <v>0.009968071865360662</v>
      </c>
      <c r="G11" s="45">
        <v>0.5</v>
      </c>
      <c r="H11" s="189">
        <v>132.065</v>
      </c>
      <c r="I11" s="117">
        <v>0</v>
      </c>
      <c r="J11" s="190">
        <v>0</v>
      </c>
      <c r="K11" s="188">
        <v>0.9127832167857143</v>
      </c>
      <c r="L11" s="196">
        <v>69.19198135</v>
      </c>
      <c r="M11" s="191">
        <v>127.78965035</v>
      </c>
      <c r="N11" s="192">
        <v>12.210349649999998</v>
      </c>
      <c r="O11" s="45">
        <v>81.402331</v>
      </c>
      <c r="P11" s="193">
        <v>140</v>
      </c>
      <c r="Q11" s="194">
        <v>0.01710003767152065</v>
      </c>
      <c r="R11" s="164">
        <v>2013</v>
      </c>
      <c r="S11" s="156">
        <v>1961</v>
      </c>
      <c r="T11" s="195">
        <v>1974</v>
      </c>
    </row>
    <row r="12" spans="1:20" ht="12.75">
      <c r="A12" s="184" t="s">
        <v>27</v>
      </c>
      <c r="B12" s="185" t="s">
        <v>162</v>
      </c>
      <c r="C12" s="186">
        <v>1840</v>
      </c>
      <c r="D12" s="117">
        <v>0.6716</v>
      </c>
      <c r="E12" s="196">
        <v>29.295510499999995</v>
      </c>
      <c r="F12" s="188">
        <v>-0.04373673036093419</v>
      </c>
      <c r="G12" s="45">
        <v>0</v>
      </c>
      <c r="H12" s="189">
        <v>115</v>
      </c>
      <c r="I12" s="117">
        <v>-9</v>
      </c>
      <c r="J12" s="190">
        <v>0</v>
      </c>
      <c r="K12" s="188">
        <v>0.9292955105</v>
      </c>
      <c r="L12" s="196">
        <v>63.63404055000001</v>
      </c>
      <c r="M12" s="197">
        <v>92.92955105</v>
      </c>
      <c r="N12" s="192">
        <v>7.070448949999999</v>
      </c>
      <c r="O12" s="45">
        <v>70.70448950000001</v>
      </c>
      <c r="P12" s="193">
        <v>100</v>
      </c>
      <c r="Q12" s="194">
        <v>0.009409313464840358</v>
      </c>
      <c r="R12" s="164">
        <v>2029</v>
      </c>
      <c r="S12" s="156">
        <v>1928</v>
      </c>
      <c r="T12" s="195">
        <v>2020</v>
      </c>
    </row>
    <row r="13" spans="1:20" ht="12.75">
      <c r="A13" s="198" t="s">
        <v>21</v>
      </c>
      <c r="B13" s="199" t="s">
        <v>162</v>
      </c>
      <c r="C13" s="200">
        <v>2140</v>
      </c>
      <c r="D13" s="93">
        <v>0.7810999999999999</v>
      </c>
      <c r="E13" s="201">
        <v>33.0399898</v>
      </c>
      <c r="F13" s="202">
        <v>0.049562682215743434</v>
      </c>
      <c r="G13" s="203">
        <v>0</v>
      </c>
      <c r="H13" s="204">
        <v>99.825</v>
      </c>
      <c r="I13" s="93">
        <v>0</v>
      </c>
      <c r="J13" s="205">
        <v>0</v>
      </c>
      <c r="K13" s="202">
        <v>0.9367110997777778</v>
      </c>
      <c r="L13" s="201">
        <v>51.26400918</v>
      </c>
      <c r="M13" s="206">
        <v>84.30399898</v>
      </c>
      <c r="N13" s="207">
        <v>5.696001019999997</v>
      </c>
      <c r="O13" s="203">
        <v>56.9600102</v>
      </c>
      <c r="P13" s="208">
        <v>90</v>
      </c>
      <c r="Q13" s="209">
        <v>0.013527623512857224</v>
      </c>
      <c r="R13" s="210">
        <v>2023</v>
      </c>
      <c r="S13" s="211">
        <v>1938</v>
      </c>
      <c r="T13" s="212">
        <v>1971</v>
      </c>
    </row>
    <row r="14" spans="1:20" ht="12.75">
      <c r="A14" s="184" t="s">
        <v>29</v>
      </c>
      <c r="B14" s="185" t="s">
        <v>165</v>
      </c>
      <c r="C14" s="186">
        <v>1806.25</v>
      </c>
      <c r="D14" s="117">
        <v>0.6592812499999999</v>
      </c>
      <c r="E14" s="196">
        <v>48.096109900000016</v>
      </c>
      <c r="F14" s="188">
        <v>-0.049823321554770324</v>
      </c>
      <c r="G14" s="45">
        <v>0.1</v>
      </c>
      <c r="H14" s="189">
        <v>71.0275</v>
      </c>
      <c r="I14" s="117">
        <v>0</v>
      </c>
      <c r="J14" s="190">
        <v>0</v>
      </c>
      <c r="K14" s="188">
        <v>0.9324504741142857</v>
      </c>
      <c r="L14" s="196">
        <v>33.493306584999985</v>
      </c>
      <c r="M14" s="197">
        <v>81.589416485</v>
      </c>
      <c r="N14" s="192">
        <v>5.910583514999999</v>
      </c>
      <c r="O14" s="45">
        <v>39.403890099999984</v>
      </c>
      <c r="P14" s="213">
        <v>87.5</v>
      </c>
      <c r="Q14" s="194">
        <v>0.01645604248950702</v>
      </c>
      <c r="R14" s="164">
        <v>1999</v>
      </c>
      <c r="S14" s="156">
        <v>1941</v>
      </c>
      <c r="T14" s="195">
        <v>1970</v>
      </c>
    </row>
    <row r="15" spans="1:20" ht="12.75">
      <c r="A15" s="184" t="s">
        <v>23</v>
      </c>
      <c r="B15" s="185" t="s">
        <v>162</v>
      </c>
      <c r="C15" s="186">
        <v>2050</v>
      </c>
      <c r="D15" s="117">
        <v>0.74825</v>
      </c>
      <c r="E15" s="196">
        <v>20.118435</v>
      </c>
      <c r="F15" s="188">
        <v>0.023433242506811978</v>
      </c>
      <c r="G15" s="45">
        <v>0.1</v>
      </c>
      <c r="H15" s="189">
        <v>89.09</v>
      </c>
      <c r="I15" s="117">
        <v>-11</v>
      </c>
      <c r="J15" s="190">
        <v>0</v>
      </c>
      <c r="K15" s="188">
        <v>0.9309514384615384</v>
      </c>
      <c r="L15" s="196">
        <v>40.3934085</v>
      </c>
      <c r="M15" s="197">
        <v>60.5118435</v>
      </c>
      <c r="N15" s="192">
        <v>4.488156499999995</v>
      </c>
      <c r="O15" s="45">
        <v>44.881564999999995</v>
      </c>
      <c r="P15" s="193">
        <v>65</v>
      </c>
      <c r="Q15" s="194">
        <v>0.01639826942099152</v>
      </c>
      <c r="R15" s="164">
        <v>2022</v>
      </c>
      <c r="S15" s="156">
        <v>1964</v>
      </c>
      <c r="T15" s="195">
        <v>2015</v>
      </c>
    </row>
    <row r="16" spans="1:20" ht="12.75">
      <c r="A16" s="184" t="s">
        <v>11</v>
      </c>
      <c r="B16" s="185" t="s">
        <v>163</v>
      </c>
      <c r="C16" s="186">
        <v>3635</v>
      </c>
      <c r="D16" s="117">
        <v>1.326775</v>
      </c>
      <c r="E16" s="196">
        <v>32.423512099999996</v>
      </c>
      <c r="F16" s="188">
        <v>0.020523553856887224</v>
      </c>
      <c r="G16" s="45">
        <v>0.1</v>
      </c>
      <c r="H16" s="189">
        <v>18.37</v>
      </c>
      <c r="I16" s="117">
        <v>-3.8482315000000002</v>
      </c>
      <c r="J16" s="190">
        <v>0</v>
      </c>
      <c r="K16" s="188">
        <v>0.9540391868333332</v>
      </c>
      <c r="L16" s="196">
        <v>24.818839110000003</v>
      </c>
      <c r="M16" s="197">
        <v>57.242351209999995</v>
      </c>
      <c r="N16" s="192">
        <v>2.757648790000001</v>
      </c>
      <c r="O16" s="45">
        <v>27.576487900000004</v>
      </c>
      <c r="P16" s="193">
        <v>60</v>
      </c>
      <c r="Q16" s="194">
        <v>0.04590398684710441</v>
      </c>
      <c r="R16" s="164">
        <v>2003</v>
      </c>
      <c r="S16" s="156">
        <v>1959</v>
      </c>
      <c r="T16" s="195">
        <v>2005</v>
      </c>
    </row>
    <row r="17" spans="1:20" ht="12.75">
      <c r="A17" s="184" t="s">
        <v>15</v>
      </c>
      <c r="B17" s="185" t="s">
        <v>165</v>
      </c>
      <c r="C17" s="186">
        <v>3320</v>
      </c>
      <c r="D17" s="117">
        <v>1.2118</v>
      </c>
      <c r="E17" s="196">
        <v>33.66214449999999</v>
      </c>
      <c r="F17" s="188">
        <v>0.012344099776143286</v>
      </c>
      <c r="G17" s="45">
        <v>0.2</v>
      </c>
      <c r="H17" s="189">
        <v>16.67</v>
      </c>
      <c r="I17" s="117">
        <v>0</v>
      </c>
      <c r="J17" s="190">
        <v>0</v>
      </c>
      <c r="K17" s="188">
        <v>0.9401664584821428</v>
      </c>
      <c r="L17" s="196">
        <v>18.98717717500001</v>
      </c>
      <c r="M17" s="197">
        <v>52.649321674999996</v>
      </c>
      <c r="N17" s="192">
        <v>3.3506783250000005</v>
      </c>
      <c r="O17" s="45">
        <v>22.33785550000001</v>
      </c>
      <c r="P17" s="193">
        <v>56</v>
      </c>
      <c r="Q17" s="194">
        <v>0.05145722832336123</v>
      </c>
      <c r="R17" s="164">
        <v>2000</v>
      </c>
      <c r="S17" s="156">
        <v>1977</v>
      </c>
      <c r="T17" s="195">
        <v>2004</v>
      </c>
    </row>
    <row r="18" spans="1:20" ht="12.75">
      <c r="A18" s="198" t="s">
        <v>31</v>
      </c>
      <c r="B18" s="199" t="s">
        <v>166</v>
      </c>
      <c r="C18" s="200">
        <v>1640</v>
      </c>
      <c r="D18" s="93">
        <v>0.5986</v>
      </c>
      <c r="E18" s="201">
        <v>24.562894</v>
      </c>
      <c r="F18" s="202">
        <v>0.040293040293040316</v>
      </c>
      <c r="G18" s="203">
        <v>0.03</v>
      </c>
      <c r="H18" s="204">
        <v>37.695</v>
      </c>
      <c r="I18" s="93">
        <v>0</v>
      </c>
      <c r="J18" s="205">
        <v>-6</v>
      </c>
      <c r="K18" s="202">
        <v>0.916989710909091</v>
      </c>
      <c r="L18" s="201">
        <v>25.8715401</v>
      </c>
      <c r="M18" s="206">
        <v>50.434434100000004</v>
      </c>
      <c r="N18" s="207">
        <v>4.565565899999999</v>
      </c>
      <c r="O18" s="203">
        <v>30.437106</v>
      </c>
      <c r="P18" s="208">
        <v>55</v>
      </c>
      <c r="Q18" s="209">
        <v>0.019287461996192398</v>
      </c>
      <c r="R18" s="210">
        <v>2009</v>
      </c>
      <c r="S18" s="211">
        <v>1961</v>
      </c>
      <c r="T18" s="212">
        <v>1970</v>
      </c>
    </row>
    <row r="19" spans="1:20" ht="12.75">
      <c r="A19" s="184" t="s">
        <v>19</v>
      </c>
      <c r="B19" s="185" t="s">
        <v>166</v>
      </c>
      <c r="C19" s="186">
        <v>2379</v>
      </c>
      <c r="D19" s="117">
        <v>0.868335</v>
      </c>
      <c r="E19" s="196">
        <v>24.886758499999996</v>
      </c>
      <c r="F19" s="188">
        <v>0.028420547287566017</v>
      </c>
      <c r="G19" s="45">
        <v>0.05</v>
      </c>
      <c r="H19" s="189">
        <v>35.7675</v>
      </c>
      <c r="I19" s="117">
        <v>0</v>
      </c>
      <c r="J19" s="190">
        <v>-5.95</v>
      </c>
      <c r="K19" s="188">
        <v>0.9178729777272728</v>
      </c>
      <c r="L19" s="196">
        <v>25.596255275000004</v>
      </c>
      <c r="M19" s="197">
        <v>50.483013775</v>
      </c>
      <c r="N19" s="192">
        <v>4.516986225</v>
      </c>
      <c r="O19" s="45">
        <v>30.113241500000004</v>
      </c>
      <c r="P19" s="193">
        <v>55</v>
      </c>
      <c r="Q19" s="194">
        <v>0.028027463353906452</v>
      </c>
      <c r="R19" s="164">
        <v>2004</v>
      </c>
      <c r="S19" s="156">
        <v>1967</v>
      </c>
      <c r="T19" s="195">
        <v>2005</v>
      </c>
    </row>
    <row r="20" spans="1:20" ht="12.75">
      <c r="A20" s="184" t="s">
        <v>37</v>
      </c>
      <c r="B20" s="185" t="s">
        <v>163</v>
      </c>
      <c r="C20" s="186">
        <v>970</v>
      </c>
      <c r="D20" s="117">
        <v>0.35405</v>
      </c>
      <c r="E20" s="196">
        <v>7.0046566</v>
      </c>
      <c r="F20" s="188">
        <v>0.0742049469964664</v>
      </c>
      <c r="G20" s="45">
        <v>0.7</v>
      </c>
      <c r="H20" s="189">
        <v>26.256666666666664</v>
      </c>
      <c r="I20" s="117">
        <v>-1.03222</v>
      </c>
      <c r="J20" s="190">
        <v>0</v>
      </c>
      <c r="K20" s="188">
        <v>0.9145930345833334</v>
      </c>
      <c r="L20" s="196">
        <v>36.895809060000005</v>
      </c>
      <c r="M20" s="197">
        <v>43.90046566</v>
      </c>
      <c r="N20" s="192">
        <v>4.099534339999998</v>
      </c>
      <c r="O20" s="45">
        <v>40.9953434</v>
      </c>
      <c r="P20" s="193">
        <v>48</v>
      </c>
      <c r="Q20" s="194">
        <v>0.00856239888636431</v>
      </c>
      <c r="R20" s="164">
        <v>2030</v>
      </c>
      <c r="S20" s="156">
        <v>2000</v>
      </c>
      <c r="T20" s="195">
        <v>2020</v>
      </c>
    </row>
    <row r="21" spans="1:20" ht="12.75">
      <c r="A21" s="184" t="s">
        <v>39</v>
      </c>
      <c r="B21" s="185" t="s">
        <v>168</v>
      </c>
      <c r="C21" s="186">
        <v>945</v>
      </c>
      <c r="D21" s="117">
        <v>0.344925</v>
      </c>
      <c r="E21" s="196">
        <v>20.895768999999994</v>
      </c>
      <c r="F21" s="188">
        <v>-0.04434195354966233</v>
      </c>
      <c r="G21" s="45">
        <v>0.1</v>
      </c>
      <c r="H21" s="189">
        <v>4.899249999999999</v>
      </c>
      <c r="I21" s="117">
        <v>0</v>
      </c>
      <c r="J21" s="190">
        <v>0</v>
      </c>
      <c r="K21" s="188">
        <v>0.965299278125</v>
      </c>
      <c r="L21" s="196">
        <v>9.993807900000006</v>
      </c>
      <c r="M21" s="197">
        <v>30.8895769</v>
      </c>
      <c r="N21" s="192">
        <v>1.1104231000000002</v>
      </c>
      <c r="O21" s="45">
        <v>11.104231000000006</v>
      </c>
      <c r="P21" s="193">
        <v>32</v>
      </c>
      <c r="Q21" s="194">
        <v>0.03012667483961259</v>
      </c>
      <c r="R21" s="164">
        <v>1993</v>
      </c>
      <c r="S21" s="156">
        <v>1945</v>
      </c>
      <c r="T21" s="195">
        <v>1977</v>
      </c>
    </row>
    <row r="22" spans="1:20" ht="12.75">
      <c r="A22" s="184" t="s">
        <v>17</v>
      </c>
      <c r="B22" s="185" t="s">
        <v>167</v>
      </c>
      <c r="C22" s="186">
        <v>2710</v>
      </c>
      <c r="D22" s="117">
        <v>0.98915</v>
      </c>
      <c r="E22" s="196">
        <v>19.49720865</v>
      </c>
      <c r="F22" s="188">
        <v>-0.03902579999999998</v>
      </c>
      <c r="G22" s="45">
        <v>0.2</v>
      </c>
      <c r="H22" s="189">
        <v>9.135</v>
      </c>
      <c r="I22" s="117">
        <v>0</v>
      </c>
      <c r="J22" s="190">
        <v>0</v>
      </c>
      <c r="K22" s="188">
        <v>0.9666047993064517</v>
      </c>
      <c r="L22" s="196">
        <v>10.4675401285</v>
      </c>
      <c r="M22" s="197">
        <v>29.964748778500002</v>
      </c>
      <c r="N22" s="192">
        <v>1.0352512214999994</v>
      </c>
      <c r="O22" s="45">
        <v>11.502791349999999</v>
      </c>
      <c r="P22" s="193">
        <v>31</v>
      </c>
      <c r="Q22" s="194">
        <v>0.07918304867801833</v>
      </c>
      <c r="R22" s="164">
        <v>2001</v>
      </c>
      <c r="S22" s="156">
        <v>1979</v>
      </c>
      <c r="T22" s="195">
        <v>2001</v>
      </c>
    </row>
    <row r="23" spans="1:20" ht="12.75">
      <c r="A23" s="198" t="s">
        <v>25</v>
      </c>
      <c r="B23" s="199" t="s">
        <v>167</v>
      </c>
      <c r="C23" s="200">
        <v>1865</v>
      </c>
      <c r="D23" s="93">
        <v>0.6807249999999999</v>
      </c>
      <c r="E23" s="201">
        <v>21.789634949999996</v>
      </c>
      <c r="F23" s="202">
        <v>-0.039969109318688884</v>
      </c>
      <c r="G23" s="203">
        <v>0.2</v>
      </c>
      <c r="H23" s="204">
        <v>4.821149999999999</v>
      </c>
      <c r="I23" s="93">
        <v>0</v>
      </c>
      <c r="J23" s="205">
        <v>0</v>
      </c>
      <c r="K23" s="202">
        <v>0.9726321164999999</v>
      </c>
      <c r="L23" s="201">
        <v>7.389328545000003</v>
      </c>
      <c r="M23" s="206">
        <v>29.178963494999998</v>
      </c>
      <c r="N23" s="207">
        <v>0.8210365050000004</v>
      </c>
      <c r="O23" s="203">
        <v>8.210365050000004</v>
      </c>
      <c r="P23" s="208">
        <v>30</v>
      </c>
      <c r="Q23" s="209">
        <v>0.07656260325470433</v>
      </c>
      <c r="R23" s="210">
        <v>1997</v>
      </c>
      <c r="S23" s="211">
        <v>1974</v>
      </c>
      <c r="T23" s="212">
        <v>1999</v>
      </c>
    </row>
    <row r="24" spans="1:20" ht="12.75">
      <c r="A24" s="184" t="s">
        <v>33</v>
      </c>
      <c r="B24" s="185" t="s">
        <v>166</v>
      </c>
      <c r="C24" s="186">
        <v>1350</v>
      </c>
      <c r="D24" s="117">
        <v>0.49274999999999997</v>
      </c>
      <c r="E24" s="196">
        <v>13.545837499999996</v>
      </c>
      <c r="F24" s="188">
        <v>0.12304379038047379</v>
      </c>
      <c r="G24" s="45">
        <v>0.01</v>
      </c>
      <c r="H24" s="189">
        <v>12.73625</v>
      </c>
      <c r="I24" s="117">
        <v>0</v>
      </c>
      <c r="J24" s="190">
        <v>0</v>
      </c>
      <c r="K24" s="188">
        <v>0.9225669866071428</v>
      </c>
      <c r="L24" s="196">
        <v>12.286038125000003</v>
      </c>
      <c r="M24" s="197">
        <v>25.831875625</v>
      </c>
      <c r="N24" s="192">
        <v>2.1681243750000014</v>
      </c>
      <c r="O24" s="45">
        <v>14.454162500000004</v>
      </c>
      <c r="P24" s="193">
        <v>28</v>
      </c>
      <c r="Q24" s="194">
        <v>0.035795052117339916</v>
      </c>
      <c r="R24" s="164">
        <v>2006</v>
      </c>
      <c r="S24" s="156">
        <v>1956</v>
      </c>
      <c r="T24" s="195">
        <v>2006</v>
      </c>
    </row>
    <row r="25" spans="1:20" ht="12.75">
      <c r="A25" s="184" t="s">
        <v>35</v>
      </c>
      <c r="B25" s="185" t="s">
        <v>164</v>
      </c>
      <c r="C25" s="186">
        <v>1083.9041217</v>
      </c>
      <c r="D25" s="117">
        <v>0.39562500442049997</v>
      </c>
      <c r="E25" s="196">
        <v>20.02950467432216</v>
      </c>
      <c r="F25" s="188">
        <v>0.005479454350710885</v>
      </c>
      <c r="G25" s="45">
        <v>0.1</v>
      </c>
      <c r="H25" s="189">
        <v>51.166500000000006</v>
      </c>
      <c r="I25" s="117">
        <v>0</v>
      </c>
      <c r="J25" s="214">
        <v>-173.8</v>
      </c>
      <c r="K25" s="188">
        <v>0.9655548346595508</v>
      </c>
      <c r="L25" s="196">
        <v>5.074921026826165</v>
      </c>
      <c r="M25" s="197">
        <v>25.104425701148323</v>
      </c>
      <c r="N25" s="192">
        <v>1.2315547575000005</v>
      </c>
      <c r="O25" s="45">
        <v>5.970495325677842</v>
      </c>
      <c r="P25" s="193">
        <v>26</v>
      </c>
      <c r="Q25" s="194">
        <v>0.062145385871835754</v>
      </c>
      <c r="R25" s="164">
        <v>1988</v>
      </c>
      <c r="S25" s="156">
        <v>1958</v>
      </c>
      <c r="T25" s="195">
        <v>1973</v>
      </c>
    </row>
    <row r="26" spans="1:20" ht="12.75">
      <c r="A26" s="184" t="s">
        <v>60</v>
      </c>
      <c r="B26" s="185" t="s">
        <v>163</v>
      </c>
      <c r="C26" s="186">
        <v>400</v>
      </c>
      <c r="D26" s="117">
        <v>0.146</v>
      </c>
      <c r="E26" s="196">
        <v>8.483704150000001</v>
      </c>
      <c r="F26" s="188">
        <v>0.06800670016750418</v>
      </c>
      <c r="G26" s="45">
        <v>0.13</v>
      </c>
      <c r="H26" s="189">
        <v>7.283333333333334</v>
      </c>
      <c r="I26" s="117">
        <v>-0.3672995</v>
      </c>
      <c r="J26" s="190">
        <v>0</v>
      </c>
      <c r="K26" s="188">
        <v>0.9105978867857144</v>
      </c>
      <c r="L26" s="196">
        <v>10.638851472499999</v>
      </c>
      <c r="M26" s="197">
        <v>19.122555622500002</v>
      </c>
      <c r="N26" s="192">
        <v>1.8774443774999998</v>
      </c>
      <c r="O26" s="45">
        <v>12.516295849999999</v>
      </c>
      <c r="P26" s="193">
        <v>21</v>
      </c>
      <c r="Q26" s="194">
        <v>0.01153029448447139</v>
      </c>
      <c r="R26" s="164">
        <v>2013</v>
      </c>
      <c r="S26" s="156">
        <v>1871</v>
      </c>
      <c r="T26" s="195">
        <v>2015</v>
      </c>
    </row>
    <row r="27" spans="1:20" ht="12.75">
      <c r="A27" s="184" t="s">
        <v>42</v>
      </c>
      <c r="B27" s="185" t="s">
        <v>169</v>
      </c>
      <c r="C27" s="186">
        <v>800</v>
      </c>
      <c r="D27" s="117">
        <v>0.292</v>
      </c>
      <c r="E27" s="196">
        <v>7.6045195</v>
      </c>
      <c r="F27" s="188">
        <v>0.03820157808545479</v>
      </c>
      <c r="G27" s="45">
        <v>0</v>
      </c>
      <c r="H27" s="189">
        <v>18.24</v>
      </c>
      <c r="I27" s="117">
        <v>-1.081641</v>
      </c>
      <c r="J27" s="190">
        <v>-25</v>
      </c>
      <c r="K27" s="188">
        <v>0.9013935933333334</v>
      </c>
      <c r="L27" s="196">
        <v>5.9163844</v>
      </c>
      <c r="M27" s="197">
        <v>13.5209039</v>
      </c>
      <c r="N27" s="192">
        <v>1.4790960999999996</v>
      </c>
      <c r="O27" s="45">
        <v>7.3954805</v>
      </c>
      <c r="P27" s="193">
        <v>15</v>
      </c>
      <c r="Q27" s="194">
        <v>0.03798383618664135</v>
      </c>
      <c r="R27" s="164">
        <v>2005</v>
      </c>
      <c r="S27" s="156">
        <v>1940</v>
      </c>
      <c r="T27" s="195">
        <v>2005</v>
      </c>
    </row>
    <row r="28" spans="1:20" ht="12.75">
      <c r="A28" s="198" t="s">
        <v>46</v>
      </c>
      <c r="B28" s="199" t="s">
        <v>166</v>
      </c>
      <c r="C28" s="200">
        <v>696</v>
      </c>
      <c r="D28" s="93">
        <v>0.25404</v>
      </c>
      <c r="E28" s="201">
        <v>9.461909600000002</v>
      </c>
      <c r="F28" s="202">
        <v>-0.016842105263157887</v>
      </c>
      <c r="G28" s="203">
        <v>0.08</v>
      </c>
      <c r="H28" s="204">
        <v>3.6417624999999996</v>
      </c>
      <c r="I28" s="93">
        <v>-0.7866845</v>
      </c>
      <c r="J28" s="205">
        <v>0</v>
      </c>
      <c r="K28" s="202">
        <v>0.9513776028571429</v>
      </c>
      <c r="L28" s="201">
        <v>3.8573768399999984</v>
      </c>
      <c r="M28" s="206">
        <v>13.31928644</v>
      </c>
      <c r="N28" s="207">
        <v>0.6807135599999996</v>
      </c>
      <c r="O28" s="203">
        <v>4.538090399999998</v>
      </c>
      <c r="P28" s="208">
        <v>14</v>
      </c>
      <c r="Q28" s="209">
        <v>0.053011913031414955</v>
      </c>
      <c r="R28" s="210">
        <v>1995</v>
      </c>
      <c r="S28" s="211">
        <v>1965</v>
      </c>
      <c r="T28" s="212">
        <v>1995</v>
      </c>
    </row>
    <row r="29" spans="1:20" ht="12.75">
      <c r="A29" s="184" t="s">
        <v>44</v>
      </c>
      <c r="B29" s="185" t="s">
        <v>169</v>
      </c>
      <c r="C29" s="186">
        <v>765</v>
      </c>
      <c r="D29" s="117">
        <v>0.279225</v>
      </c>
      <c r="E29" s="196">
        <v>7.845821000000002</v>
      </c>
      <c r="F29" s="188">
        <v>-0.041319228375855624</v>
      </c>
      <c r="G29" s="45">
        <v>0.03</v>
      </c>
      <c r="H29" s="189">
        <v>5.58</v>
      </c>
      <c r="I29" s="117">
        <v>-1.5424535</v>
      </c>
      <c r="J29" s="190">
        <v>0</v>
      </c>
      <c r="K29" s="188">
        <v>0.9560415785714286</v>
      </c>
      <c r="L29" s="196">
        <v>5.5387610999999985</v>
      </c>
      <c r="M29" s="197">
        <v>13.3845821</v>
      </c>
      <c r="N29" s="192">
        <v>0.6154178999999997</v>
      </c>
      <c r="O29" s="45">
        <v>6.154178999999998</v>
      </c>
      <c r="P29" s="193">
        <v>14</v>
      </c>
      <c r="Q29" s="194">
        <v>0.04340237298947804</v>
      </c>
      <c r="R29" s="164">
        <v>2002</v>
      </c>
      <c r="S29" s="156">
        <v>1962</v>
      </c>
      <c r="T29" s="195">
        <v>2001</v>
      </c>
    </row>
    <row r="30" spans="1:20" ht="12.75">
      <c r="A30" s="184" t="s">
        <v>53</v>
      </c>
      <c r="B30" s="185" t="s">
        <v>162</v>
      </c>
      <c r="C30" s="186">
        <v>575</v>
      </c>
      <c r="D30" s="117">
        <v>0.20987499999999998</v>
      </c>
      <c r="E30" s="196">
        <v>7.2785744999999995</v>
      </c>
      <c r="F30" s="188">
        <v>0.003539823008849545</v>
      </c>
      <c r="G30" s="45">
        <v>0</v>
      </c>
      <c r="H30" s="189">
        <v>4.875</v>
      </c>
      <c r="I30" s="117">
        <v>-3</v>
      </c>
      <c r="J30" s="190">
        <v>0</v>
      </c>
      <c r="K30" s="188">
        <v>0.9308730500000001</v>
      </c>
      <c r="L30" s="196">
        <v>5.288211675</v>
      </c>
      <c r="M30" s="197">
        <v>12.566786175</v>
      </c>
      <c r="N30" s="192">
        <v>0.9332138250000002</v>
      </c>
      <c r="O30" s="45">
        <v>6.2214255000000005</v>
      </c>
      <c r="P30" s="213">
        <v>13.5</v>
      </c>
      <c r="Q30" s="194">
        <v>0.032633368632051914</v>
      </c>
      <c r="R30" s="164">
        <v>2002</v>
      </c>
      <c r="S30" s="156">
        <v>1951</v>
      </c>
      <c r="T30" s="195">
        <v>2000</v>
      </c>
    </row>
    <row r="31" spans="1:20" ht="12.75">
      <c r="A31" s="184" t="s">
        <v>50</v>
      </c>
      <c r="B31" s="185" t="s">
        <v>165</v>
      </c>
      <c r="C31" s="186">
        <v>608.461</v>
      </c>
      <c r="D31" s="117">
        <v>0.222088265</v>
      </c>
      <c r="E31" s="196">
        <v>9.009368935</v>
      </c>
      <c r="F31" s="188">
        <v>-0.04050825688073394</v>
      </c>
      <c r="G31" s="45">
        <v>0.1</v>
      </c>
      <c r="H31" s="215">
        <v>2.7175</v>
      </c>
      <c r="I31" s="117">
        <v>0</v>
      </c>
      <c r="J31" s="190">
        <v>0</v>
      </c>
      <c r="K31" s="188">
        <v>0.9846514189807691</v>
      </c>
      <c r="L31" s="196">
        <v>3.79109951175</v>
      </c>
      <c r="M31" s="197">
        <v>12.80046844675</v>
      </c>
      <c r="N31" s="192">
        <v>0.19953155325000038</v>
      </c>
      <c r="O31" s="45">
        <v>3.9906310650000005</v>
      </c>
      <c r="P31" s="193">
        <v>13</v>
      </c>
      <c r="Q31" s="194">
        <v>0.05271850498523486</v>
      </c>
      <c r="R31" s="164">
        <v>1996</v>
      </c>
      <c r="S31" s="156">
        <v>1960</v>
      </c>
      <c r="T31" s="195">
        <v>1998</v>
      </c>
    </row>
    <row r="32" spans="1:20" ht="12.75">
      <c r="A32" s="184" t="s">
        <v>48</v>
      </c>
      <c r="B32" s="185" t="s">
        <v>168</v>
      </c>
      <c r="C32" s="186">
        <v>660</v>
      </c>
      <c r="D32" s="117">
        <v>0.24089999999999998</v>
      </c>
      <c r="E32" s="196">
        <v>6.3063970000000005</v>
      </c>
      <c r="F32" s="188">
        <v>0.005032618825722276</v>
      </c>
      <c r="G32" s="45">
        <v>0.1</v>
      </c>
      <c r="H32" s="215">
        <v>5.08575</v>
      </c>
      <c r="I32" s="117">
        <v>0</v>
      </c>
      <c r="J32" s="190">
        <v>0</v>
      </c>
      <c r="K32" s="188">
        <v>0.9525533083333334</v>
      </c>
      <c r="L32" s="196">
        <v>5.1242427</v>
      </c>
      <c r="M32" s="197">
        <v>11.4306397</v>
      </c>
      <c r="N32" s="192">
        <v>0.5693602999999996</v>
      </c>
      <c r="O32" s="45">
        <v>5.6936029999999995</v>
      </c>
      <c r="P32" s="193">
        <v>12</v>
      </c>
      <c r="Q32" s="194">
        <v>0.04059312127738419</v>
      </c>
      <c r="R32" s="164">
        <v>2003</v>
      </c>
      <c r="S32" s="156">
        <v>1974</v>
      </c>
      <c r="T32" s="195">
        <v>2004</v>
      </c>
    </row>
    <row r="33" spans="1:20" ht="12.75">
      <c r="A33" s="198" t="s">
        <v>40</v>
      </c>
      <c r="B33" s="199" t="s">
        <v>168</v>
      </c>
      <c r="C33" s="200">
        <v>828</v>
      </c>
      <c r="D33" s="93">
        <v>0.30222</v>
      </c>
      <c r="E33" s="201">
        <v>6.221475750000001</v>
      </c>
      <c r="F33" s="202">
        <v>0.02252082773447996</v>
      </c>
      <c r="G33" s="203">
        <v>0.1</v>
      </c>
      <c r="H33" s="216">
        <v>3.7642499999999997</v>
      </c>
      <c r="I33" s="93">
        <v>-0.90812</v>
      </c>
      <c r="J33" s="205">
        <v>0</v>
      </c>
      <c r="K33" s="202">
        <v>0.95184563125</v>
      </c>
      <c r="L33" s="201">
        <v>5.200671825</v>
      </c>
      <c r="M33" s="206">
        <v>11.422147575</v>
      </c>
      <c r="N33" s="207">
        <v>0.5778524249999997</v>
      </c>
      <c r="O33" s="203">
        <v>5.778524249999999</v>
      </c>
      <c r="P33" s="208">
        <v>12</v>
      </c>
      <c r="Q33" s="209">
        <v>0.0497011529468618</v>
      </c>
      <c r="R33" s="210">
        <v>2004</v>
      </c>
      <c r="S33" s="211">
        <v>1973</v>
      </c>
      <c r="T33" s="212">
        <v>2004</v>
      </c>
    </row>
    <row r="34" spans="1:20" ht="12.75">
      <c r="A34" s="184" t="s">
        <v>54</v>
      </c>
      <c r="B34" s="185" t="s">
        <v>165</v>
      </c>
      <c r="C34" s="186">
        <v>520</v>
      </c>
      <c r="D34" s="117">
        <v>0.1898</v>
      </c>
      <c r="E34" s="196">
        <v>6.320404999999999</v>
      </c>
      <c r="F34" s="188">
        <v>-0.02790004964421643</v>
      </c>
      <c r="G34" s="45">
        <v>0.1</v>
      </c>
      <c r="H34" s="215">
        <v>1.53</v>
      </c>
      <c r="I34" s="117">
        <v>-0.5799485</v>
      </c>
      <c r="J34" s="190">
        <v>0</v>
      </c>
      <c r="K34" s="188">
        <v>0.944806075</v>
      </c>
      <c r="L34" s="196">
        <v>3.1276557500000006</v>
      </c>
      <c r="M34" s="197">
        <v>9.44806075</v>
      </c>
      <c r="N34" s="192">
        <v>0.5519392500000002</v>
      </c>
      <c r="O34" s="45">
        <v>3.679595000000001</v>
      </c>
      <c r="P34" s="193">
        <v>10</v>
      </c>
      <c r="Q34" s="194">
        <v>0.04905159592132624</v>
      </c>
      <c r="R34" s="164">
        <v>1999</v>
      </c>
      <c r="S34" s="156">
        <v>1992</v>
      </c>
      <c r="T34" s="195">
        <v>1999</v>
      </c>
    </row>
    <row r="35" spans="1:20" ht="12.75">
      <c r="A35" s="184" t="s">
        <v>52</v>
      </c>
      <c r="B35" s="185" t="s">
        <v>166</v>
      </c>
      <c r="C35" s="186">
        <v>594.8630136986301</v>
      </c>
      <c r="D35" s="117">
        <v>0.21712499999999996</v>
      </c>
      <c r="E35" s="196">
        <v>5.2804655</v>
      </c>
      <c r="F35" s="188">
        <v>-0.029062352385451136</v>
      </c>
      <c r="G35" s="45">
        <v>0</v>
      </c>
      <c r="H35" s="215">
        <v>8.109375</v>
      </c>
      <c r="I35" s="117">
        <v>-2.0875915</v>
      </c>
      <c r="J35" s="190">
        <v>-9.7</v>
      </c>
      <c r="K35" s="188">
        <v>0.9111676947368421</v>
      </c>
      <c r="L35" s="196">
        <v>3.3756276</v>
      </c>
      <c r="M35" s="197">
        <v>8.6560931</v>
      </c>
      <c r="N35" s="192">
        <v>0.8439068999999999</v>
      </c>
      <c r="O35" s="45">
        <v>4.2195345</v>
      </c>
      <c r="P35" s="192">
        <v>9.5</v>
      </c>
      <c r="Q35" s="194">
        <v>0.048938846895958475</v>
      </c>
      <c r="R35" s="164">
        <v>2003</v>
      </c>
      <c r="S35" s="156">
        <v>1971</v>
      </c>
      <c r="T35" s="195">
        <v>1998</v>
      </c>
    </row>
    <row r="36" spans="1:20" ht="12.75">
      <c r="A36" s="184" t="s">
        <v>59</v>
      </c>
      <c r="B36" s="185" t="s">
        <v>168</v>
      </c>
      <c r="C36" s="186">
        <v>440</v>
      </c>
      <c r="D36" s="117">
        <v>0.1606</v>
      </c>
      <c r="E36" s="196">
        <v>6.287635999999999</v>
      </c>
      <c r="F36" s="188">
        <v>-0.06089155864685425</v>
      </c>
      <c r="G36" s="45">
        <v>0.1</v>
      </c>
      <c r="H36" s="215">
        <v>3.1870000000000003</v>
      </c>
      <c r="I36" s="117">
        <v>-0.32134599999999997</v>
      </c>
      <c r="J36" s="190">
        <v>-1</v>
      </c>
      <c r="K36" s="188">
        <v>0.8985569263157894</v>
      </c>
      <c r="L36" s="196">
        <v>2.2486548000000006</v>
      </c>
      <c r="M36" s="197">
        <v>8.5362908</v>
      </c>
      <c r="N36" s="192">
        <v>0.9637092000000003</v>
      </c>
      <c r="O36" s="45">
        <v>3.212364000000001</v>
      </c>
      <c r="P36" s="192">
        <v>9.5</v>
      </c>
      <c r="Q36" s="194">
        <v>0.04761390871648793</v>
      </c>
      <c r="R36" s="164">
        <v>1997</v>
      </c>
      <c r="S36" s="156">
        <v>1967</v>
      </c>
      <c r="T36" s="195">
        <v>2000</v>
      </c>
    </row>
    <row r="37" spans="1:20" ht="12.75">
      <c r="A37" s="184" t="s">
        <v>94</v>
      </c>
      <c r="B37" s="185" t="s">
        <v>163</v>
      </c>
      <c r="C37" s="186">
        <v>100</v>
      </c>
      <c r="D37" s="117">
        <v>0.0365</v>
      </c>
      <c r="E37" s="196">
        <v>5.8649165000000005</v>
      </c>
      <c r="F37" s="188">
        <v>-0.03333333333333334</v>
      </c>
      <c r="G37" s="45">
        <v>0.05</v>
      </c>
      <c r="H37" s="215">
        <v>0.8475</v>
      </c>
      <c r="I37" s="117">
        <v>0</v>
      </c>
      <c r="J37" s="190">
        <v>0</v>
      </c>
      <c r="K37" s="188">
        <v>0.91993436875</v>
      </c>
      <c r="L37" s="196">
        <v>1.4945584499999995</v>
      </c>
      <c r="M37" s="197">
        <v>7.35947495</v>
      </c>
      <c r="N37" s="192">
        <v>0.6405250499999999</v>
      </c>
      <c r="O37" s="45">
        <v>2.1350834999999995</v>
      </c>
      <c r="P37" s="192">
        <v>8</v>
      </c>
      <c r="Q37" s="194">
        <v>0.016808011296825565</v>
      </c>
      <c r="R37" s="164">
        <v>1970</v>
      </c>
      <c r="S37" s="156">
        <v>1857</v>
      </c>
      <c r="T37" s="195">
        <v>1976</v>
      </c>
    </row>
    <row r="38" spans="1:20" ht="12.75">
      <c r="A38" s="198" t="s">
        <v>55</v>
      </c>
      <c r="B38" s="199" t="s">
        <v>165</v>
      </c>
      <c r="C38" s="200">
        <v>510</v>
      </c>
      <c r="D38" s="93">
        <v>0.18614999999999998</v>
      </c>
      <c r="E38" s="201">
        <v>3.8183595499999994</v>
      </c>
      <c r="F38" s="202">
        <v>0.0505526897568165</v>
      </c>
      <c r="G38" s="203">
        <v>0.05</v>
      </c>
      <c r="H38" s="216">
        <v>4.8275</v>
      </c>
      <c r="I38" s="93">
        <v>0</v>
      </c>
      <c r="J38" s="205">
        <v>0</v>
      </c>
      <c r="K38" s="202">
        <v>0.9738647471874999</v>
      </c>
      <c r="L38" s="201">
        <v>3.9725584275000005</v>
      </c>
      <c r="M38" s="206">
        <v>7.7909179774999995</v>
      </c>
      <c r="N38" s="207">
        <v>0.20908202250000008</v>
      </c>
      <c r="O38" s="203">
        <v>4.181640450000001</v>
      </c>
      <c r="P38" s="207">
        <v>8</v>
      </c>
      <c r="Q38" s="209">
        <v>0.04261880283199025</v>
      </c>
      <c r="R38" s="210">
        <v>2006</v>
      </c>
      <c r="S38" s="211">
        <v>1969</v>
      </c>
      <c r="T38" s="212">
        <v>2005</v>
      </c>
    </row>
    <row r="39" spans="1:20" ht="12.75">
      <c r="A39" s="184" t="s">
        <v>51</v>
      </c>
      <c r="B39" s="185" t="s">
        <v>165</v>
      </c>
      <c r="C39" s="186">
        <v>255.1369863013697</v>
      </c>
      <c r="D39" s="117">
        <v>0.09312499999999993</v>
      </c>
      <c r="E39" s="196">
        <v>4.977209749999998</v>
      </c>
      <c r="F39" s="188">
        <v>-0.05852639574629707</v>
      </c>
      <c r="G39" s="45">
        <v>0.05</v>
      </c>
      <c r="H39" s="215">
        <v>8.35</v>
      </c>
      <c r="I39" s="117">
        <v>0</v>
      </c>
      <c r="J39" s="190">
        <v>-22</v>
      </c>
      <c r="K39" s="188">
        <v>0.9663627966666667</v>
      </c>
      <c r="L39" s="196">
        <v>2.2705112250000017</v>
      </c>
      <c r="M39" s="197">
        <v>7.247720975</v>
      </c>
      <c r="N39" s="192">
        <v>0.252279025</v>
      </c>
      <c r="O39" s="45">
        <v>2.5227902500000017</v>
      </c>
      <c r="P39" s="192">
        <v>7.5</v>
      </c>
      <c r="Q39" s="194">
        <v>0.035599394896298715</v>
      </c>
      <c r="R39" s="164">
        <v>1997</v>
      </c>
      <c r="S39" s="156">
        <v>1975</v>
      </c>
      <c r="T39" s="195">
        <v>1986</v>
      </c>
    </row>
    <row r="40" spans="1:20" ht="12.75">
      <c r="A40" s="184" t="s">
        <v>57</v>
      </c>
      <c r="B40" s="185" t="s">
        <v>169</v>
      </c>
      <c r="C40" s="186">
        <v>475</v>
      </c>
      <c r="D40" s="117">
        <v>0.173375</v>
      </c>
      <c r="E40" s="196">
        <v>4.3409085</v>
      </c>
      <c r="F40" s="188">
        <v>-0.016708469998070588</v>
      </c>
      <c r="G40" s="45">
        <v>0</v>
      </c>
      <c r="H40" s="215">
        <v>2.65</v>
      </c>
      <c r="I40" s="117">
        <v>-2.36</v>
      </c>
      <c r="J40" s="190">
        <v>0</v>
      </c>
      <c r="K40" s="188">
        <v>0.9620129785714286</v>
      </c>
      <c r="L40" s="196">
        <v>2.39318235</v>
      </c>
      <c r="M40" s="197">
        <v>6.73409085</v>
      </c>
      <c r="N40" s="192">
        <v>0.2659091499999997</v>
      </c>
      <c r="O40" s="45">
        <v>2.6590914999999997</v>
      </c>
      <c r="P40" s="192">
        <v>7</v>
      </c>
      <c r="Q40" s="194">
        <v>0.0612099031003544</v>
      </c>
      <c r="R40" s="164">
        <v>2000</v>
      </c>
      <c r="S40" s="156">
        <v>1966</v>
      </c>
      <c r="T40" s="195">
        <v>1995</v>
      </c>
    </row>
    <row r="41" spans="1:20" ht="12.75">
      <c r="A41" s="184" t="s">
        <v>64</v>
      </c>
      <c r="B41" s="185" t="s">
        <v>169</v>
      </c>
      <c r="C41" s="186">
        <v>367</v>
      </c>
      <c r="D41" s="117">
        <v>0.133955</v>
      </c>
      <c r="E41" s="196">
        <v>4.126653499999999</v>
      </c>
      <c r="F41" s="188">
        <v>0.07185185185185183</v>
      </c>
      <c r="G41" s="45">
        <v>0</v>
      </c>
      <c r="H41" s="215">
        <v>2.615</v>
      </c>
      <c r="I41" s="117">
        <v>0</v>
      </c>
      <c r="J41" s="190">
        <v>0</v>
      </c>
      <c r="K41" s="188">
        <v>0.8751102333333333</v>
      </c>
      <c r="L41" s="196">
        <v>1.1240079000000007</v>
      </c>
      <c r="M41" s="197">
        <v>5.250661399999999</v>
      </c>
      <c r="N41" s="192">
        <v>0.7493386000000004</v>
      </c>
      <c r="O41" s="45">
        <v>1.8733465000000011</v>
      </c>
      <c r="P41" s="192">
        <v>6</v>
      </c>
      <c r="Q41" s="194">
        <v>0.06673387131928109</v>
      </c>
      <c r="R41" s="164">
        <v>1991</v>
      </c>
      <c r="S41" s="156">
        <v>1970</v>
      </c>
      <c r="T41" s="195">
        <v>1991</v>
      </c>
    </row>
    <row r="42" spans="1:20" ht="12.75">
      <c r="A42" s="184" t="s">
        <v>77</v>
      </c>
      <c r="B42" s="185" t="s">
        <v>163</v>
      </c>
      <c r="C42" s="186">
        <v>220</v>
      </c>
      <c r="D42" s="117">
        <v>0.0803</v>
      </c>
      <c r="E42" s="196">
        <v>3.1709593999999988</v>
      </c>
      <c r="F42" s="188">
        <v>0.075</v>
      </c>
      <c r="G42" s="45">
        <v>0.1</v>
      </c>
      <c r="H42" s="217">
        <v>1.18</v>
      </c>
      <c r="I42" s="117">
        <v>-0.40514999999999995</v>
      </c>
      <c r="J42" s="190">
        <v>0</v>
      </c>
      <c r="K42" s="188">
        <v>0.8941345181818182</v>
      </c>
      <c r="L42" s="196">
        <v>1.746780450000001</v>
      </c>
      <c r="M42" s="197">
        <v>4.91773985</v>
      </c>
      <c r="N42" s="192">
        <v>0.5822601500000002</v>
      </c>
      <c r="O42" s="45">
        <v>2.3290406000000012</v>
      </c>
      <c r="P42" s="192">
        <v>5.5</v>
      </c>
      <c r="Q42" s="194">
        <v>0.03332862111732976</v>
      </c>
      <c r="R42" s="164">
        <v>1999</v>
      </c>
      <c r="S42" s="156">
        <v>1964</v>
      </c>
      <c r="T42" s="195">
        <v>1973</v>
      </c>
    </row>
    <row r="43" spans="1:20" ht="12.75">
      <c r="A43" s="198" t="s">
        <v>75</v>
      </c>
      <c r="B43" s="199" t="s">
        <v>166</v>
      </c>
      <c r="C43" s="200">
        <v>234</v>
      </c>
      <c r="D43" s="93">
        <v>0.08541</v>
      </c>
      <c r="E43" s="201">
        <v>3.1042155000000005</v>
      </c>
      <c r="F43" s="202">
        <v>-0.04441489361702128</v>
      </c>
      <c r="G43" s="203">
        <v>0.01</v>
      </c>
      <c r="H43" s="94">
        <v>2.4266666666666663</v>
      </c>
      <c r="I43" s="93">
        <v>-0.8</v>
      </c>
      <c r="J43" s="205">
        <v>0</v>
      </c>
      <c r="K43" s="202">
        <v>0.92416862</v>
      </c>
      <c r="L43" s="201">
        <v>1.5166275999999996</v>
      </c>
      <c r="M43" s="206">
        <v>4.6208431</v>
      </c>
      <c r="N43" s="207">
        <v>0.3791568999999999</v>
      </c>
      <c r="O43" s="203">
        <v>1.8957844999999995</v>
      </c>
      <c r="P43" s="207">
        <v>5</v>
      </c>
      <c r="Q43" s="209">
        <v>0.04311035589892869</v>
      </c>
      <c r="R43" s="210">
        <v>1999</v>
      </c>
      <c r="S43" s="211">
        <v>1985</v>
      </c>
      <c r="T43" s="212">
        <v>1996</v>
      </c>
    </row>
    <row r="44" spans="1:20" ht="12.75">
      <c r="A44" s="184" t="s">
        <v>88</v>
      </c>
      <c r="B44" s="185" t="s">
        <v>165</v>
      </c>
      <c r="C44" s="186">
        <v>145</v>
      </c>
      <c r="D44" s="117">
        <v>0.052925</v>
      </c>
      <c r="E44" s="196">
        <v>3.3460383000000005</v>
      </c>
      <c r="F44" s="188">
        <v>0.05595763459841132</v>
      </c>
      <c r="G44" s="45">
        <v>0.1</v>
      </c>
      <c r="H44" s="217">
        <v>0.935</v>
      </c>
      <c r="I44" s="117">
        <v>-0.19527499999999998</v>
      </c>
      <c r="J44" s="190">
        <v>0</v>
      </c>
      <c r="K44" s="188">
        <v>0.9113287347368421</v>
      </c>
      <c r="L44" s="196">
        <v>0.9827731899999996</v>
      </c>
      <c r="M44" s="197">
        <v>4.32881149</v>
      </c>
      <c r="N44" s="192">
        <v>0.4211885099999999</v>
      </c>
      <c r="O44" s="45">
        <v>1.4039616999999995</v>
      </c>
      <c r="P44" s="192">
        <v>4.75</v>
      </c>
      <c r="Q44" s="194">
        <v>0.036327464585955704</v>
      </c>
      <c r="R44" s="164">
        <v>1986</v>
      </c>
      <c r="S44" s="156">
        <v>1959</v>
      </c>
      <c r="T44" s="195">
        <v>1981</v>
      </c>
    </row>
    <row r="45" spans="1:20" ht="12.75">
      <c r="A45" s="184" t="s">
        <v>95</v>
      </c>
      <c r="B45" s="185" t="s">
        <v>163</v>
      </c>
      <c r="C45" s="186">
        <v>85</v>
      </c>
      <c r="D45" s="117">
        <v>0.031024999999999997</v>
      </c>
      <c r="E45" s="196">
        <v>2.75553465</v>
      </c>
      <c r="F45" s="188">
        <v>0.030040595399188064</v>
      </c>
      <c r="G45" s="45">
        <v>0.1</v>
      </c>
      <c r="H45" s="217">
        <v>0.66</v>
      </c>
      <c r="I45" s="117">
        <v>-0.1755285</v>
      </c>
      <c r="J45" s="190">
        <v>0</v>
      </c>
      <c r="K45" s="188">
        <v>0.8643193616666667</v>
      </c>
      <c r="L45" s="196">
        <v>1.1339024775</v>
      </c>
      <c r="M45" s="197">
        <v>3.8894371275</v>
      </c>
      <c r="N45" s="192">
        <v>0.6105628725000001</v>
      </c>
      <c r="O45" s="45">
        <v>1.74446535</v>
      </c>
      <c r="P45" s="192">
        <v>4.5</v>
      </c>
      <c r="Q45" s="194">
        <v>0.017474045972708335</v>
      </c>
      <c r="R45" s="164">
        <v>1989</v>
      </c>
      <c r="S45" s="156">
        <v>1962</v>
      </c>
      <c r="T45" s="195">
        <v>1970</v>
      </c>
    </row>
    <row r="46" spans="1:20" ht="12.75">
      <c r="A46" s="184" t="s">
        <v>79</v>
      </c>
      <c r="B46" s="185" t="s">
        <v>168</v>
      </c>
      <c r="C46" s="186">
        <v>185</v>
      </c>
      <c r="D46" s="117">
        <v>0.067525</v>
      </c>
      <c r="E46" s="196">
        <v>3.20299</v>
      </c>
      <c r="F46" s="188">
        <v>0.00498614958448755</v>
      </c>
      <c r="G46" s="45">
        <v>0</v>
      </c>
      <c r="H46" s="217">
        <v>1.213</v>
      </c>
      <c r="I46" s="117">
        <v>-0.92</v>
      </c>
      <c r="J46" s="190">
        <v>0</v>
      </c>
      <c r="K46" s="188">
        <v>0.9711775555555556</v>
      </c>
      <c r="L46" s="196">
        <v>1.1673090000000002</v>
      </c>
      <c r="M46" s="197">
        <v>4.370299</v>
      </c>
      <c r="N46" s="192">
        <v>0.12970100000000007</v>
      </c>
      <c r="O46" s="45">
        <v>1.2970100000000002</v>
      </c>
      <c r="P46" s="192">
        <v>4.5</v>
      </c>
      <c r="Q46" s="194">
        <v>0.04948572224237557</v>
      </c>
      <c r="R46" s="164">
        <v>1990</v>
      </c>
      <c r="S46" s="156">
        <v>1929</v>
      </c>
      <c r="T46" s="195">
        <v>1978</v>
      </c>
    </row>
    <row r="47" spans="1:20" ht="12.75">
      <c r="A47" s="184" t="s">
        <v>69</v>
      </c>
      <c r="B47" s="185" t="s">
        <v>168</v>
      </c>
      <c r="C47" s="186">
        <v>340</v>
      </c>
      <c r="D47" s="117">
        <v>0.12409999999999999</v>
      </c>
      <c r="E47" s="196">
        <v>1.2653089999999998</v>
      </c>
      <c r="F47" s="188">
        <v>0.02309711286089236</v>
      </c>
      <c r="G47" s="45">
        <v>0.05</v>
      </c>
      <c r="H47" s="217">
        <v>1.709</v>
      </c>
      <c r="I47" s="117">
        <v>-0.89</v>
      </c>
      <c r="J47" s="190">
        <v>-0.3</v>
      </c>
      <c r="K47" s="188">
        <v>0.9640589888888889</v>
      </c>
      <c r="L47" s="196">
        <v>3.07295645</v>
      </c>
      <c r="M47" s="197">
        <v>4.33826545</v>
      </c>
      <c r="N47" s="192">
        <v>0.16173455000000025</v>
      </c>
      <c r="O47" s="45">
        <v>3.234691</v>
      </c>
      <c r="P47" s="192">
        <v>4.5</v>
      </c>
      <c r="Q47" s="194">
        <v>0.036947818426332574</v>
      </c>
      <c r="R47" s="164">
        <v>2009</v>
      </c>
      <c r="S47" s="156">
        <v>1975</v>
      </c>
      <c r="T47" s="195">
        <v>2005</v>
      </c>
    </row>
    <row r="48" spans="1:20" ht="12.75">
      <c r="A48" s="198" t="s">
        <v>92</v>
      </c>
      <c r="B48" s="199" t="s">
        <v>165</v>
      </c>
      <c r="C48" s="200">
        <v>105</v>
      </c>
      <c r="D48" s="93">
        <v>0.038325</v>
      </c>
      <c r="E48" s="201">
        <v>2.42825005</v>
      </c>
      <c r="F48" s="202">
        <v>0.025806451612903243</v>
      </c>
      <c r="G48" s="203">
        <v>0</v>
      </c>
      <c r="H48" s="94">
        <v>0.915</v>
      </c>
      <c r="I48" s="93">
        <v>0</v>
      </c>
      <c r="J48" s="205">
        <v>0</v>
      </c>
      <c r="K48" s="202">
        <v>0.9118833366666667</v>
      </c>
      <c r="L48" s="201">
        <v>0.9913124625</v>
      </c>
      <c r="M48" s="206">
        <v>3.4195625124999998</v>
      </c>
      <c r="N48" s="207">
        <v>0.3304374875</v>
      </c>
      <c r="O48" s="203">
        <v>1.32174995</v>
      </c>
      <c r="P48" s="207">
        <v>3.75</v>
      </c>
      <c r="Q48" s="209">
        <v>0.02817859412821332</v>
      </c>
      <c r="R48" s="210">
        <v>1988</v>
      </c>
      <c r="S48" s="211">
        <v>1861</v>
      </c>
      <c r="T48" s="212">
        <v>1983</v>
      </c>
    </row>
    <row r="49" spans="1:20" ht="12.75">
      <c r="A49" s="184" t="s">
        <v>67</v>
      </c>
      <c r="B49" s="185" t="s">
        <v>169</v>
      </c>
      <c r="C49" s="186">
        <v>350</v>
      </c>
      <c r="D49" s="117">
        <v>0.12775</v>
      </c>
      <c r="E49" s="196">
        <v>1.9997985</v>
      </c>
      <c r="F49" s="188">
        <v>0</v>
      </c>
      <c r="G49" s="45">
        <v>0.1</v>
      </c>
      <c r="H49" s="217">
        <v>3.4375</v>
      </c>
      <c r="I49" s="117">
        <v>-1.65</v>
      </c>
      <c r="J49" s="190">
        <v>0</v>
      </c>
      <c r="K49" s="188">
        <v>0.85998388</v>
      </c>
      <c r="L49" s="196">
        <v>1.22514105</v>
      </c>
      <c r="M49" s="197">
        <v>3.22493955</v>
      </c>
      <c r="N49" s="192">
        <v>0.52506045</v>
      </c>
      <c r="O49" s="45">
        <v>1.7502015</v>
      </c>
      <c r="P49" s="192">
        <v>3.75</v>
      </c>
      <c r="Q49" s="194">
        <v>0.06802625094418038</v>
      </c>
      <c r="R49" s="164">
        <v>2004</v>
      </c>
      <c r="S49" s="156">
        <v>1978</v>
      </c>
      <c r="T49" s="195">
        <v>1999</v>
      </c>
    </row>
    <row r="50" spans="1:20" ht="12.75">
      <c r="A50" s="184" t="s">
        <v>71</v>
      </c>
      <c r="B50" s="185" t="s">
        <v>166</v>
      </c>
      <c r="C50" s="186">
        <v>290</v>
      </c>
      <c r="D50" s="117">
        <v>0.10585</v>
      </c>
      <c r="E50" s="196">
        <v>0.5420673300000001</v>
      </c>
      <c r="F50" s="188">
        <v>0.09</v>
      </c>
      <c r="G50" s="45">
        <v>0</v>
      </c>
      <c r="H50" s="217">
        <v>3.46</v>
      </c>
      <c r="I50" s="117">
        <v>-0.38022049999999996</v>
      </c>
      <c r="J50" s="190">
        <v>0</v>
      </c>
      <c r="K50" s="188">
        <v>0.788719095</v>
      </c>
      <c r="L50" s="196">
        <v>2.2184495025</v>
      </c>
      <c r="M50" s="197">
        <v>2.7605168325</v>
      </c>
      <c r="N50" s="192">
        <v>0.7394831675</v>
      </c>
      <c r="O50" s="45">
        <v>2.95793267</v>
      </c>
      <c r="P50" s="192">
        <v>3.5</v>
      </c>
      <c r="Q50" s="194">
        <v>0.05027577014058662</v>
      </c>
      <c r="R50" s="164">
        <v>2014</v>
      </c>
      <c r="S50" s="156">
        <v>1980</v>
      </c>
      <c r="T50" s="195">
        <v>2010</v>
      </c>
    </row>
    <row r="51" spans="1:20" ht="12.75">
      <c r="A51" s="184" t="s">
        <v>62</v>
      </c>
      <c r="B51" s="185" t="s">
        <v>167</v>
      </c>
      <c r="C51" s="186">
        <v>378</v>
      </c>
      <c r="D51" s="117">
        <v>0.13796999999999998</v>
      </c>
      <c r="E51" s="196">
        <v>1.7453569999999998</v>
      </c>
      <c r="F51" s="188">
        <v>0.016991963260619993</v>
      </c>
      <c r="G51" s="45">
        <v>0.1</v>
      </c>
      <c r="H51" s="217">
        <v>1.396875</v>
      </c>
      <c r="I51" s="117">
        <v>0</v>
      </c>
      <c r="J51" s="190">
        <v>0</v>
      </c>
      <c r="K51" s="188">
        <v>0.7744030428571429</v>
      </c>
      <c r="L51" s="196">
        <v>0.9650536500000002</v>
      </c>
      <c r="M51" s="197">
        <v>2.71041065</v>
      </c>
      <c r="N51" s="192">
        <v>0.78958935</v>
      </c>
      <c r="O51" s="45">
        <v>1.7546430000000002</v>
      </c>
      <c r="P51" s="192">
        <v>3.5</v>
      </c>
      <c r="Q51" s="194">
        <v>0.07289921394389656</v>
      </c>
      <c r="R51" s="164">
        <v>2005</v>
      </c>
      <c r="S51" s="156">
        <v>1971</v>
      </c>
      <c r="T51" s="195">
        <v>2004</v>
      </c>
    </row>
    <row r="52" spans="1:20" ht="12.75">
      <c r="A52" s="184" t="s">
        <v>73</v>
      </c>
      <c r="B52" s="185" t="s">
        <v>166</v>
      </c>
      <c r="C52" s="186">
        <v>240</v>
      </c>
      <c r="D52" s="117">
        <v>0.0876</v>
      </c>
      <c r="E52" s="196">
        <v>1.7815284999999998</v>
      </c>
      <c r="F52" s="188">
        <v>-0.018867924528301876</v>
      </c>
      <c r="G52" s="45">
        <v>0.05</v>
      </c>
      <c r="H52" s="217">
        <v>1.65</v>
      </c>
      <c r="I52" s="117">
        <v>-0.97</v>
      </c>
      <c r="J52" s="190">
        <v>-0.5</v>
      </c>
      <c r="K52" s="188">
        <v>0.817229275</v>
      </c>
      <c r="L52" s="196">
        <v>0.6701593250000001</v>
      </c>
      <c r="M52" s="197">
        <v>2.451687825</v>
      </c>
      <c r="N52" s="192">
        <v>0.5483121750000001</v>
      </c>
      <c r="O52" s="45">
        <v>1.2184715000000002</v>
      </c>
      <c r="P52" s="192">
        <v>3</v>
      </c>
      <c r="Q52" s="194">
        <v>0.06707136630728099</v>
      </c>
      <c r="R52" s="164">
        <v>2002</v>
      </c>
      <c r="S52" s="156">
        <v>1984</v>
      </c>
      <c r="T52" s="195">
        <v>2000</v>
      </c>
    </row>
    <row r="53" spans="1:20" ht="12.75">
      <c r="A53" s="198" t="s">
        <v>85</v>
      </c>
      <c r="B53" s="199" t="s">
        <v>163</v>
      </c>
      <c r="C53" s="200">
        <v>160</v>
      </c>
      <c r="D53" s="93">
        <v>0.058399999999999994</v>
      </c>
      <c r="E53" s="201">
        <v>1.21944675</v>
      </c>
      <c r="F53" s="202">
        <v>0.023776223776223758</v>
      </c>
      <c r="G53" s="203">
        <v>0.02</v>
      </c>
      <c r="H53" s="94">
        <v>0.64</v>
      </c>
      <c r="I53" s="93">
        <v>-0.32886499999999996</v>
      </c>
      <c r="J53" s="205">
        <v>0</v>
      </c>
      <c r="K53" s="202">
        <v>0.8052023136363636</v>
      </c>
      <c r="L53" s="201">
        <v>0.9948596125000001</v>
      </c>
      <c r="M53" s="206">
        <v>2.2143063625</v>
      </c>
      <c r="N53" s="207">
        <v>0.5356936375</v>
      </c>
      <c r="O53" s="203">
        <v>1.53055325</v>
      </c>
      <c r="P53" s="207">
        <v>2.75</v>
      </c>
      <c r="Q53" s="209">
        <v>0.03675375597110864</v>
      </c>
      <c r="R53" s="210">
        <v>2008</v>
      </c>
      <c r="S53" s="211">
        <v>1992</v>
      </c>
      <c r="T53" s="212">
        <v>1998</v>
      </c>
    </row>
    <row r="54" spans="1:20" ht="12.75">
      <c r="A54" s="184" t="s">
        <v>101</v>
      </c>
      <c r="B54" s="185" t="s">
        <v>167</v>
      </c>
      <c r="C54" s="186">
        <v>70</v>
      </c>
      <c r="D54" s="117">
        <v>0.02555</v>
      </c>
      <c r="E54" s="196">
        <v>2.00238565</v>
      </c>
      <c r="F54" s="188">
        <v>0.00319303338171262</v>
      </c>
      <c r="G54" s="45">
        <v>0.02</v>
      </c>
      <c r="H54" s="217">
        <v>0.3433833333333333</v>
      </c>
      <c r="I54" s="117">
        <v>0</v>
      </c>
      <c r="J54" s="190">
        <v>0</v>
      </c>
      <c r="K54" s="188">
        <v>0.960190852</v>
      </c>
      <c r="L54" s="196">
        <v>0.3980914800000001</v>
      </c>
      <c r="M54" s="197">
        <v>2.40047713</v>
      </c>
      <c r="N54" s="192">
        <v>0.09952286999999999</v>
      </c>
      <c r="O54" s="45">
        <v>0.4976143500000001</v>
      </c>
      <c r="P54" s="192">
        <v>2.5</v>
      </c>
      <c r="Q54" s="194">
        <v>0.048837425562349546</v>
      </c>
      <c r="R54" s="164">
        <v>1977</v>
      </c>
      <c r="S54" s="156">
        <v>1952</v>
      </c>
      <c r="T54" s="195">
        <v>1966</v>
      </c>
    </row>
    <row r="55" spans="1:20" ht="12.75">
      <c r="A55" s="184" t="s">
        <v>99</v>
      </c>
      <c r="B55" s="185" t="s">
        <v>166</v>
      </c>
      <c r="C55" s="186">
        <v>72</v>
      </c>
      <c r="D55" s="117">
        <v>0.026279999999999998</v>
      </c>
      <c r="E55" s="196">
        <v>1.272974</v>
      </c>
      <c r="F55" s="188">
        <v>0.0068965517241379466</v>
      </c>
      <c r="G55" s="45">
        <v>0.01</v>
      </c>
      <c r="H55" s="217">
        <v>0.475</v>
      </c>
      <c r="I55" s="117">
        <v>-0.18498199999999998</v>
      </c>
      <c r="J55" s="190">
        <v>0</v>
      </c>
      <c r="K55" s="188">
        <v>0.9636487</v>
      </c>
      <c r="L55" s="196">
        <v>0.6543234</v>
      </c>
      <c r="M55" s="197">
        <v>1.9272974</v>
      </c>
      <c r="N55" s="192">
        <v>0.07270259999999995</v>
      </c>
      <c r="O55" s="45">
        <v>0.727026</v>
      </c>
      <c r="P55" s="192">
        <v>2</v>
      </c>
      <c r="Q55" s="194">
        <v>0.0348862215354716</v>
      </c>
      <c r="R55" s="164">
        <v>1995</v>
      </c>
      <c r="S55" s="156">
        <v>1971</v>
      </c>
      <c r="T55" s="195">
        <v>1981</v>
      </c>
    </row>
    <row r="56" spans="1:20" ht="12.75">
      <c r="A56" s="184" t="s">
        <v>81</v>
      </c>
      <c r="B56" s="185" t="s">
        <v>166</v>
      </c>
      <c r="C56" s="186">
        <v>180</v>
      </c>
      <c r="D56" s="117">
        <v>0.0657</v>
      </c>
      <c r="E56" s="196">
        <v>0.166221</v>
      </c>
      <c r="F56" s="188"/>
      <c r="G56" s="45">
        <v>0.1</v>
      </c>
      <c r="H56" s="217">
        <v>1.1433333333333333</v>
      </c>
      <c r="I56" s="117">
        <v>0</v>
      </c>
      <c r="J56" s="190">
        <v>0</v>
      </c>
      <c r="K56" s="188">
        <v>0.6332441999999999</v>
      </c>
      <c r="L56" s="196">
        <v>1.1002674</v>
      </c>
      <c r="M56" s="197">
        <v>1.2664883999999998</v>
      </c>
      <c r="N56" s="192">
        <v>0.7335116000000002</v>
      </c>
      <c r="O56" s="45">
        <v>1.833779</v>
      </c>
      <c r="P56" s="192">
        <v>2</v>
      </c>
      <c r="Q56" s="194">
        <v>0.06106750062254926</v>
      </c>
      <c r="R56" s="164">
        <v>2015</v>
      </c>
      <c r="S56" s="156">
        <v>1977</v>
      </c>
      <c r="T56" s="195">
        <v>2008</v>
      </c>
    </row>
    <row r="57" spans="1:20" ht="12.75">
      <c r="A57" s="184" t="s">
        <v>90</v>
      </c>
      <c r="B57" s="185" t="s">
        <v>167</v>
      </c>
      <c r="C57" s="186">
        <v>115</v>
      </c>
      <c r="D57" s="117">
        <v>0.041975</v>
      </c>
      <c r="E57" s="196">
        <v>1.0027645</v>
      </c>
      <c r="F57" s="188">
        <v>0.055555555555555566</v>
      </c>
      <c r="G57" s="45">
        <v>0.1</v>
      </c>
      <c r="H57" s="217">
        <v>0.6084125</v>
      </c>
      <c r="I57" s="117">
        <v>-0.118917</v>
      </c>
      <c r="J57" s="190">
        <v>-0.3</v>
      </c>
      <c r="K57" s="188">
        <v>0.9252073375000001</v>
      </c>
      <c r="L57" s="196">
        <v>0.847650175</v>
      </c>
      <c r="M57" s="197">
        <v>1.8504146750000001</v>
      </c>
      <c r="N57" s="192">
        <v>0.149585325</v>
      </c>
      <c r="O57" s="45">
        <v>0.9972354999999999</v>
      </c>
      <c r="P57" s="192">
        <v>2</v>
      </c>
      <c r="Q57" s="194">
        <v>0.04039123931099618</v>
      </c>
      <c r="R57" s="164">
        <v>2005</v>
      </c>
      <c r="S57" s="156">
        <v>1981</v>
      </c>
      <c r="T57" s="195">
        <v>2005</v>
      </c>
    </row>
    <row r="58" spans="1:20" ht="12.75">
      <c r="A58" s="198" t="s">
        <v>83</v>
      </c>
      <c r="B58" s="199" t="s">
        <v>168</v>
      </c>
      <c r="C58" s="200">
        <v>180</v>
      </c>
      <c r="D58" s="93">
        <v>0.0657</v>
      </c>
      <c r="E58" s="201">
        <v>0.6035749499999998</v>
      </c>
      <c r="F58" s="202">
        <v>0.1183023872679045</v>
      </c>
      <c r="G58" s="203">
        <v>0.03</v>
      </c>
      <c r="H58" s="94">
        <v>0.54025</v>
      </c>
      <c r="I58" s="93">
        <v>0</v>
      </c>
      <c r="J58" s="205">
        <v>0</v>
      </c>
      <c r="K58" s="202">
        <v>0.9355044088235295</v>
      </c>
      <c r="L58" s="201">
        <v>0.9867825450000002</v>
      </c>
      <c r="M58" s="206">
        <v>1.5903574950000001</v>
      </c>
      <c r="N58" s="207">
        <v>0.10964250499999995</v>
      </c>
      <c r="O58" s="203">
        <v>1.0964250500000001</v>
      </c>
      <c r="P58" s="207">
        <v>1.7</v>
      </c>
      <c r="Q58" s="209">
        <v>0.05653436349212162</v>
      </c>
      <c r="R58" s="210">
        <v>2009</v>
      </c>
      <c r="S58" s="211">
        <v>1981</v>
      </c>
      <c r="T58" s="212">
        <v>2007</v>
      </c>
    </row>
    <row r="59" spans="1:20" ht="12.75">
      <c r="A59" s="184" t="s">
        <v>97</v>
      </c>
      <c r="B59" s="185" t="s">
        <v>166</v>
      </c>
      <c r="C59" s="186">
        <v>82</v>
      </c>
      <c r="D59" s="117">
        <v>0.02993</v>
      </c>
      <c r="E59" s="196">
        <v>1.1143814999999997</v>
      </c>
      <c r="F59" s="188">
        <v>0.0050000000000000105</v>
      </c>
      <c r="G59" s="45">
        <v>0</v>
      </c>
      <c r="H59" s="217">
        <v>0.4</v>
      </c>
      <c r="I59" s="117">
        <v>-0.74</v>
      </c>
      <c r="J59" s="190">
        <v>0</v>
      </c>
      <c r="K59" s="188">
        <v>0.954473265625</v>
      </c>
      <c r="L59" s="196">
        <v>0.4127757250000003</v>
      </c>
      <c r="M59" s="197">
        <v>1.527157225</v>
      </c>
      <c r="N59" s="192">
        <v>0.07284277500000008</v>
      </c>
      <c r="O59" s="45">
        <v>0.4856185000000004</v>
      </c>
      <c r="P59" s="192">
        <v>1.6</v>
      </c>
      <c r="Q59" s="194">
        <v>0.05805467380857469</v>
      </c>
      <c r="R59" s="164">
        <v>1995</v>
      </c>
      <c r="S59" s="156">
        <v>1977</v>
      </c>
      <c r="T59" s="195">
        <v>1986</v>
      </c>
    </row>
    <row r="60" spans="1:20" ht="12.75">
      <c r="A60" s="184" t="s">
        <v>115</v>
      </c>
      <c r="B60" s="185" t="s">
        <v>169</v>
      </c>
      <c r="C60" s="186">
        <v>34</v>
      </c>
      <c r="D60" s="117">
        <v>0.01241</v>
      </c>
      <c r="E60" s="196">
        <v>1.0251901</v>
      </c>
      <c r="F60" s="188">
        <v>0.01580450650587114</v>
      </c>
      <c r="G60" s="45">
        <v>0</v>
      </c>
      <c r="H60" s="217">
        <v>0.12</v>
      </c>
      <c r="I60" s="117">
        <v>-0.02383815</v>
      </c>
      <c r="J60" s="190">
        <v>0</v>
      </c>
      <c r="K60" s="188">
        <v>0.9208650166666666</v>
      </c>
      <c r="L60" s="196">
        <v>0.3561074249999999</v>
      </c>
      <c r="M60" s="197">
        <v>1.381297525</v>
      </c>
      <c r="N60" s="192">
        <v>0.11870247499999997</v>
      </c>
      <c r="O60" s="45">
        <v>0.4748098999999999</v>
      </c>
      <c r="P60" s="192">
        <v>1.5</v>
      </c>
      <c r="Q60" s="194">
        <v>0.0254710450045246</v>
      </c>
      <c r="R60" s="164">
        <v>1985</v>
      </c>
      <c r="S60" s="156">
        <v>1932</v>
      </c>
      <c r="T60" s="195">
        <v>1970</v>
      </c>
    </row>
    <row r="61" spans="1:20" ht="12.75">
      <c r="A61" s="184" t="s">
        <v>109</v>
      </c>
      <c r="B61" s="185" t="s">
        <v>167</v>
      </c>
      <c r="C61" s="186">
        <v>44</v>
      </c>
      <c r="D61" s="117">
        <v>0.016059999999999998</v>
      </c>
      <c r="E61" s="196">
        <v>0.8887238999999998</v>
      </c>
      <c r="F61" s="188">
        <v>-0.024000000000000014</v>
      </c>
      <c r="G61" s="45">
        <v>0</v>
      </c>
      <c r="H61" s="217">
        <v>0.12666666666666668</v>
      </c>
      <c r="I61" s="117">
        <v>-0.04883699999999999</v>
      </c>
      <c r="J61" s="190">
        <v>0</v>
      </c>
      <c r="K61" s="188">
        <v>0.9316628</v>
      </c>
      <c r="L61" s="196">
        <v>0.3690208800000003</v>
      </c>
      <c r="M61" s="197">
        <v>1.2577447800000001</v>
      </c>
      <c r="N61" s="192">
        <v>0.09225522000000003</v>
      </c>
      <c r="O61" s="45">
        <v>0.4612761000000003</v>
      </c>
      <c r="P61" s="192">
        <v>1.35</v>
      </c>
      <c r="Q61" s="194">
        <v>0.033645056386893815</v>
      </c>
      <c r="R61" s="164">
        <v>1990</v>
      </c>
      <c r="S61" s="156">
        <v>1980</v>
      </c>
      <c r="T61" s="195">
        <v>1987</v>
      </c>
    </row>
    <row r="62" spans="1:20" ht="12.75">
      <c r="A62" s="184" t="s">
        <v>113</v>
      </c>
      <c r="B62" s="185" t="s">
        <v>165</v>
      </c>
      <c r="C62" s="186">
        <v>41</v>
      </c>
      <c r="D62" s="117">
        <v>0.014965</v>
      </c>
      <c r="E62" s="196">
        <v>0.46007519999999996</v>
      </c>
      <c r="F62" s="188">
        <v>0.07333333333333333</v>
      </c>
      <c r="G62" s="45">
        <v>0.05</v>
      </c>
      <c r="H62" s="217">
        <v>2.7175</v>
      </c>
      <c r="I62" s="117">
        <v>-0.0507715</v>
      </c>
      <c r="J62" s="190">
        <v>0</v>
      </c>
      <c r="K62" s="188">
        <v>0.8736120320000001</v>
      </c>
      <c r="L62" s="196">
        <v>0.6319398400000001</v>
      </c>
      <c r="M62" s="197">
        <v>1.0920150400000002</v>
      </c>
      <c r="N62" s="192">
        <v>0.15798495999999995</v>
      </c>
      <c r="O62" s="45">
        <v>0.7899248000000001</v>
      </c>
      <c r="P62" s="192">
        <v>1.25</v>
      </c>
      <c r="Q62" s="194">
        <v>0.018592607335811667</v>
      </c>
      <c r="R62" s="164">
        <v>2016</v>
      </c>
      <c r="S62" s="156">
        <v>1966</v>
      </c>
      <c r="T62" s="195">
        <v>2010</v>
      </c>
    </row>
    <row r="63" spans="1:20" ht="12.75">
      <c r="A63" s="198" t="s">
        <v>111</v>
      </c>
      <c r="B63" s="199" t="s">
        <v>169</v>
      </c>
      <c r="C63" s="200">
        <v>42</v>
      </c>
      <c r="D63" s="93">
        <v>0.01533</v>
      </c>
      <c r="E63" s="201">
        <v>0.8727223</v>
      </c>
      <c r="F63" s="202">
        <v>-0.026446280991735516</v>
      </c>
      <c r="G63" s="203">
        <v>0</v>
      </c>
      <c r="H63" s="94">
        <v>0.3005</v>
      </c>
      <c r="I63" s="93">
        <v>-0.046866</v>
      </c>
      <c r="J63" s="205">
        <v>0</v>
      </c>
      <c r="K63" s="202">
        <v>0.9045440041666668</v>
      </c>
      <c r="L63" s="201">
        <v>0.21273050500000001</v>
      </c>
      <c r="M63" s="206">
        <v>1.085452805</v>
      </c>
      <c r="N63" s="207">
        <v>0.11454719499999999</v>
      </c>
      <c r="O63" s="203">
        <v>0.3272777</v>
      </c>
      <c r="P63" s="207">
        <v>1.2</v>
      </c>
      <c r="Q63" s="209">
        <v>0.04474505389108304</v>
      </c>
      <c r="R63" s="210">
        <v>1992</v>
      </c>
      <c r="S63" s="211">
        <v>1969</v>
      </c>
      <c r="T63" s="212">
        <v>1991</v>
      </c>
    </row>
    <row r="64" spans="1:20" ht="12.75">
      <c r="A64" s="184" t="s">
        <v>119</v>
      </c>
      <c r="B64" s="185" t="s">
        <v>163</v>
      </c>
      <c r="C64" s="186">
        <v>20.2</v>
      </c>
      <c r="D64" s="117">
        <v>0.007372999999999999</v>
      </c>
      <c r="E64" s="196">
        <v>0.7010700999999999</v>
      </c>
      <c r="F64" s="188">
        <v>-0.028813559322033916</v>
      </c>
      <c r="G64" s="45">
        <v>0.02</v>
      </c>
      <c r="H64" s="217">
        <v>0.1366666666666667</v>
      </c>
      <c r="I64" s="117">
        <v>0</v>
      </c>
      <c r="J64" s="190">
        <v>0</v>
      </c>
      <c r="K64" s="188">
        <v>1</v>
      </c>
      <c r="L64" s="196">
        <v>0.23914392000000007</v>
      </c>
      <c r="M64" s="197">
        <v>1</v>
      </c>
      <c r="N64" s="192">
        <v>4.099534339999998</v>
      </c>
      <c r="O64" s="45">
        <v>0.2989299000000001</v>
      </c>
      <c r="P64" s="192">
        <v>1</v>
      </c>
      <c r="Q64" s="194">
        <v>0.024070944153646603</v>
      </c>
      <c r="R64" s="164">
        <v>1987</v>
      </c>
      <c r="S64" s="156">
        <v>1964</v>
      </c>
      <c r="T64" s="195">
        <v>1987</v>
      </c>
    </row>
    <row r="65" spans="1:20" ht="12.75">
      <c r="A65" s="184" t="s">
        <v>121</v>
      </c>
      <c r="B65" s="185" t="s">
        <v>163</v>
      </c>
      <c r="C65" s="186">
        <v>17.5</v>
      </c>
      <c r="D65" s="117">
        <v>0.0063875</v>
      </c>
      <c r="E65" s="196">
        <v>0.5119088499999999</v>
      </c>
      <c r="F65" s="188">
        <v>-0.03870967741935481</v>
      </c>
      <c r="G65" s="45">
        <v>0</v>
      </c>
      <c r="H65" s="217">
        <v>0.07</v>
      </c>
      <c r="I65" s="117">
        <v>0</v>
      </c>
      <c r="J65" s="190">
        <v>0</v>
      </c>
      <c r="K65" s="188">
        <v>0.8291680975</v>
      </c>
      <c r="L65" s="196">
        <v>0.3172592475000001</v>
      </c>
      <c r="M65" s="197">
        <v>0.8291680975</v>
      </c>
      <c r="N65" s="192">
        <v>0.17083190250000002</v>
      </c>
      <c r="O65" s="45">
        <v>0.48809115000000014</v>
      </c>
      <c r="P65" s="192">
        <v>1</v>
      </c>
      <c r="Q65" s="194">
        <v>0.012917645686016981</v>
      </c>
      <c r="R65" s="164">
        <v>2003</v>
      </c>
      <c r="S65" s="156">
        <v>1950</v>
      </c>
      <c r="T65" s="195">
        <v>1988</v>
      </c>
    </row>
    <row r="66" spans="1:20" ht="12.75">
      <c r="A66" s="184" t="s">
        <v>117</v>
      </c>
      <c r="B66" s="185" t="s">
        <v>167</v>
      </c>
      <c r="C66" s="186">
        <v>21.6</v>
      </c>
      <c r="D66" s="117">
        <v>0.007884</v>
      </c>
      <c r="E66" s="196">
        <v>0.7493121500000001</v>
      </c>
      <c r="F66" s="188">
        <v>-0.04460431654676258</v>
      </c>
      <c r="G66" s="45">
        <v>0</v>
      </c>
      <c r="H66" s="217">
        <v>0.14823333333333333</v>
      </c>
      <c r="I66" s="117">
        <v>0</v>
      </c>
      <c r="J66" s="190">
        <v>0</v>
      </c>
      <c r="K66" s="188">
        <v>0.94986243</v>
      </c>
      <c r="L66" s="196">
        <v>0.20055027999999997</v>
      </c>
      <c r="M66" s="197">
        <v>0.94986243</v>
      </c>
      <c r="N66" s="192">
        <v>0.050137569999999965</v>
      </c>
      <c r="O66" s="45">
        <v>0.25068784999999993</v>
      </c>
      <c r="P66" s="192">
        <v>1</v>
      </c>
      <c r="Q66" s="194">
        <v>0.030490558040250724</v>
      </c>
      <c r="R66" s="164">
        <v>1987</v>
      </c>
      <c r="S66" s="156">
        <v>1958</v>
      </c>
      <c r="T66" s="195">
        <v>1988</v>
      </c>
    </row>
    <row r="67" spans="1:20" ht="12.75">
      <c r="A67" s="184" t="s">
        <v>123</v>
      </c>
      <c r="B67" s="185" t="s">
        <v>167</v>
      </c>
      <c r="C67" s="186">
        <v>16.9</v>
      </c>
      <c r="D67" s="117">
        <v>0.0061684999999999995</v>
      </c>
      <c r="E67" s="196">
        <v>0.7965030000000003</v>
      </c>
      <c r="F67" s="188">
        <v>-0.02116402116402116</v>
      </c>
      <c r="G67" s="45">
        <v>0</v>
      </c>
      <c r="H67" s="217">
        <v>0.0666</v>
      </c>
      <c r="I67" s="117">
        <v>-0.012410000000000001</v>
      </c>
      <c r="J67" s="190">
        <v>0</v>
      </c>
      <c r="K67" s="188">
        <v>0.9186012000000001</v>
      </c>
      <c r="L67" s="196">
        <v>0.12209819999999982</v>
      </c>
      <c r="M67" s="197">
        <v>0.9186012000000001</v>
      </c>
      <c r="N67" s="192">
        <v>0.08139879999999988</v>
      </c>
      <c r="O67" s="45">
        <v>0.2034969999999997</v>
      </c>
      <c r="P67" s="192">
        <v>1</v>
      </c>
      <c r="Q67" s="194">
        <v>0.029420672452072444</v>
      </c>
      <c r="R67" s="164">
        <v>1970</v>
      </c>
      <c r="S67" s="156">
        <v>1947</v>
      </c>
      <c r="T67" s="195">
        <v>1955</v>
      </c>
    </row>
    <row r="68" spans="1:20" ht="12.75">
      <c r="A68" s="198" t="s">
        <v>103</v>
      </c>
      <c r="B68" s="199" t="s">
        <v>168</v>
      </c>
      <c r="C68" s="200">
        <v>64</v>
      </c>
      <c r="D68" s="93">
        <v>0.02336</v>
      </c>
      <c r="E68" s="201">
        <v>0.52805645</v>
      </c>
      <c r="F68" s="202">
        <v>0.014405360134003332</v>
      </c>
      <c r="G68" s="203">
        <v>0.01</v>
      </c>
      <c r="H68" s="94">
        <v>0.289</v>
      </c>
      <c r="I68" s="93">
        <v>0</v>
      </c>
      <c r="J68" s="205">
        <v>0</v>
      </c>
      <c r="K68" s="202">
        <v>0.9173458777777779</v>
      </c>
      <c r="L68" s="201">
        <v>0.29755484000000004</v>
      </c>
      <c r="M68" s="206">
        <v>0.8256112900000001</v>
      </c>
      <c r="N68" s="207">
        <v>0.07438870999999997</v>
      </c>
      <c r="O68" s="203">
        <v>0.37194355</v>
      </c>
      <c r="P68" s="207">
        <v>0.9</v>
      </c>
      <c r="Q68" s="209">
        <v>0.05909382802152935</v>
      </c>
      <c r="R68" s="210">
        <v>2001</v>
      </c>
      <c r="S68" s="211">
        <v>1983</v>
      </c>
      <c r="T68" s="212">
        <v>1992</v>
      </c>
    </row>
    <row r="69" spans="1:20" ht="12.75">
      <c r="A69" s="184" t="s">
        <v>107</v>
      </c>
      <c r="B69" s="185" t="s">
        <v>168</v>
      </c>
      <c r="C69" s="186">
        <v>46</v>
      </c>
      <c r="D69" s="117">
        <v>0.01679</v>
      </c>
      <c r="E69" s="196">
        <v>0.39222899999999994</v>
      </c>
      <c r="F69" s="188">
        <v>-0.038596491228070184</v>
      </c>
      <c r="G69" s="45">
        <v>0</v>
      </c>
      <c r="H69" s="217">
        <v>1.0040000000000002</v>
      </c>
      <c r="I69" s="117">
        <v>-0.051172999999999996</v>
      </c>
      <c r="J69" s="190">
        <v>0</v>
      </c>
      <c r="K69" s="188">
        <v>0.9717904999999999</v>
      </c>
      <c r="L69" s="196">
        <v>0.4823824500000001</v>
      </c>
      <c r="M69" s="197">
        <v>0.87461145</v>
      </c>
      <c r="N69" s="192">
        <v>0.02538855000000001</v>
      </c>
      <c r="O69" s="45">
        <v>0.5077710000000001</v>
      </c>
      <c r="P69" s="192">
        <v>0.9</v>
      </c>
      <c r="Q69" s="194">
        <v>0.03200771692901301</v>
      </c>
      <c r="R69" s="164">
        <v>2006</v>
      </c>
      <c r="S69" s="156">
        <v>1987</v>
      </c>
      <c r="T69" s="195">
        <v>1993</v>
      </c>
    </row>
    <row r="70" spans="1:20" ht="12.75">
      <c r="A70" s="184" t="s">
        <v>127</v>
      </c>
      <c r="B70" s="185" t="s">
        <v>163</v>
      </c>
      <c r="C70" s="186">
        <v>6</v>
      </c>
      <c r="D70" s="117">
        <v>0.0021715065236729684</v>
      </c>
      <c r="E70" s="196">
        <v>0.5428499000000001</v>
      </c>
      <c r="F70" s="188">
        <v>0</v>
      </c>
      <c r="G70" s="45">
        <v>0</v>
      </c>
      <c r="H70" s="217">
        <v>0.18666666666666668</v>
      </c>
      <c r="I70" s="117">
        <v>0</v>
      </c>
      <c r="J70" s="190">
        <v>0</v>
      </c>
      <c r="K70" s="188">
        <v>0.91964059375</v>
      </c>
      <c r="L70" s="196">
        <v>0.19286257499999995</v>
      </c>
      <c r="M70" s="197">
        <v>0.735712475</v>
      </c>
      <c r="N70" s="192">
        <v>0.06428752499999998</v>
      </c>
      <c r="O70" s="45">
        <v>0.25715009999999994</v>
      </c>
      <c r="P70" s="192">
        <v>0.8</v>
      </c>
      <c r="Q70" s="194">
        <v>0.008444509738370578</v>
      </c>
      <c r="R70" s="164">
        <v>1986</v>
      </c>
      <c r="S70" s="156">
        <v>1928</v>
      </c>
      <c r="T70" s="195">
        <v>1983</v>
      </c>
    </row>
    <row r="71" spans="1:20" ht="12.75">
      <c r="A71" s="184" t="s">
        <v>105</v>
      </c>
      <c r="B71" s="185" t="s">
        <v>169</v>
      </c>
      <c r="C71" s="186">
        <v>50</v>
      </c>
      <c r="D71" s="117">
        <v>0.01825</v>
      </c>
      <c r="E71" s="196">
        <v>0.5222785</v>
      </c>
      <c r="F71" s="188">
        <v>0.00833333333333331</v>
      </c>
      <c r="G71" s="45">
        <v>0</v>
      </c>
      <c r="H71" s="217">
        <v>1.5</v>
      </c>
      <c r="I71" s="117">
        <v>-0.0841325</v>
      </c>
      <c r="J71" s="190">
        <v>0</v>
      </c>
      <c r="K71" s="188">
        <v>0.6875633124999999</v>
      </c>
      <c r="L71" s="196">
        <v>0.02777215000000001</v>
      </c>
      <c r="M71" s="197">
        <v>0.55005065</v>
      </c>
      <c r="N71" s="192">
        <v>0.24994935000000007</v>
      </c>
      <c r="O71" s="45">
        <v>0.27772150000000007</v>
      </c>
      <c r="P71" s="192">
        <v>0.8</v>
      </c>
      <c r="Q71" s="194">
        <v>0.06166134239276411</v>
      </c>
      <c r="R71" s="164">
        <v>1998</v>
      </c>
      <c r="S71" s="156">
        <v>1980</v>
      </c>
      <c r="T71" s="195">
        <v>1997</v>
      </c>
    </row>
    <row r="72" spans="1:20" ht="12.75">
      <c r="A72" s="184" t="s">
        <v>125</v>
      </c>
      <c r="B72" s="185" t="s">
        <v>165</v>
      </c>
      <c r="C72" s="186">
        <v>10</v>
      </c>
      <c r="D72" s="117">
        <v>0.0036499999999999996</v>
      </c>
      <c r="E72" s="196">
        <v>0.43195924999999985</v>
      </c>
      <c r="F72" s="188">
        <v>0.08571428571428569</v>
      </c>
      <c r="G72" s="45">
        <v>0</v>
      </c>
      <c r="H72" s="217">
        <v>0.12666666666666668</v>
      </c>
      <c r="I72" s="117">
        <v>-0.03</v>
      </c>
      <c r="J72" s="190">
        <v>0</v>
      </c>
      <c r="K72" s="188">
        <v>0.993195925</v>
      </c>
      <c r="L72" s="196">
        <v>0.06463871250000014</v>
      </c>
      <c r="M72" s="197">
        <v>0.4965979625</v>
      </c>
      <c r="N72" s="192">
        <v>0.0034020375000000103</v>
      </c>
      <c r="O72" s="117">
        <v>0.06804075000000015</v>
      </c>
      <c r="P72" s="192">
        <v>0.5</v>
      </c>
      <c r="Q72" s="194">
        <v>0.05091312338063134</v>
      </c>
      <c r="R72" s="164">
        <v>1979</v>
      </c>
      <c r="S72" s="156">
        <v>1960</v>
      </c>
      <c r="T72" s="195">
        <v>1982</v>
      </c>
    </row>
    <row r="73" spans="1:20" ht="12.75">
      <c r="A73" s="218" t="s">
        <v>180</v>
      </c>
      <c r="B73" s="219"/>
      <c r="C73" s="220"/>
      <c r="D73" s="221"/>
      <c r="E73" s="222"/>
      <c r="F73" s="223"/>
      <c r="G73" s="224"/>
      <c r="H73" s="225"/>
      <c r="I73" s="221"/>
      <c r="J73" s="226"/>
      <c r="K73" s="223"/>
      <c r="L73" s="222"/>
      <c r="M73" s="227"/>
      <c r="N73" s="228"/>
      <c r="O73" s="221"/>
      <c r="P73" s="229"/>
      <c r="Q73" s="230"/>
      <c r="R73" s="231"/>
      <c r="S73" s="232"/>
      <c r="T73" s="233"/>
    </row>
    <row r="74" spans="1:20" ht="12.75">
      <c r="A74" s="234" t="s">
        <v>181</v>
      </c>
      <c r="B74" s="199" t="s">
        <v>162</v>
      </c>
      <c r="C74" s="200">
        <v>19640</v>
      </c>
      <c r="D74" s="93">
        <v>7.1686</v>
      </c>
      <c r="E74" s="235">
        <v>252.15107809999995</v>
      </c>
      <c r="F74" s="202">
        <v>0.019922959777837507</v>
      </c>
      <c r="G74" s="203">
        <v>0.9</v>
      </c>
      <c r="H74" s="204">
        <v>700.6425</v>
      </c>
      <c r="I74" s="236">
        <v>-23</v>
      </c>
      <c r="J74" s="237">
        <v>0</v>
      </c>
      <c r="K74" s="202">
        <v>0.9304812289465985</v>
      </c>
      <c r="L74" s="235">
        <v>383.83284188500005</v>
      </c>
      <c r="M74" s="238">
        <v>257.88208993</v>
      </c>
      <c r="N74" s="239">
        <v>47.516080015</v>
      </c>
      <c r="O74" s="236">
        <v>431.34892190000005</v>
      </c>
      <c r="P74" s="239">
        <v>683.5</v>
      </c>
      <c r="Q74" s="209">
        <v>0.0163473513417207</v>
      </c>
      <c r="R74" s="210">
        <v>2018</v>
      </c>
      <c r="S74" s="211">
        <v>1948</v>
      </c>
      <c r="T74" s="212">
        <v>1974</v>
      </c>
    </row>
    <row r="75" spans="1:20" ht="12.75">
      <c r="A75" s="4" t="s">
        <v>182</v>
      </c>
      <c r="B75" s="185" t="s">
        <v>163</v>
      </c>
      <c r="C75" s="186">
        <v>14828.7</v>
      </c>
      <c r="D75" s="117">
        <v>5.4124755</v>
      </c>
      <c r="E75" s="187">
        <v>196.42352525</v>
      </c>
      <c r="F75" s="188">
        <v>0.054970468633131916</v>
      </c>
      <c r="G75" s="45">
        <v>1.92</v>
      </c>
      <c r="H75" s="189">
        <v>120.955</v>
      </c>
      <c r="I75" s="240">
        <v>-15.772015000000003</v>
      </c>
      <c r="J75" s="214">
        <v>-37</v>
      </c>
      <c r="K75" s="188">
        <v>0.9214684641107137</v>
      </c>
      <c r="L75" s="187">
        <v>151.47689337499997</v>
      </c>
      <c r="M75" s="191">
        <v>347.900418625</v>
      </c>
      <c r="N75" s="213">
        <v>29.649581375000025</v>
      </c>
      <c r="O75" s="240">
        <v>181.12647475</v>
      </c>
      <c r="P75" s="213">
        <v>377.55</v>
      </c>
      <c r="Q75" s="194">
        <v>0.029015256560338647</v>
      </c>
      <c r="R75" s="164">
        <v>2003</v>
      </c>
      <c r="S75" s="156">
        <v>1964</v>
      </c>
      <c r="T75" s="195">
        <v>1987</v>
      </c>
    </row>
    <row r="76" spans="1:20" ht="12.75">
      <c r="A76" s="4" t="s">
        <v>183</v>
      </c>
      <c r="B76" s="185" t="s">
        <v>164</v>
      </c>
      <c r="C76" s="186">
        <v>4671.597301758655</v>
      </c>
      <c r="D76" s="117">
        <v>1.7051330151419088</v>
      </c>
      <c r="E76" s="187">
        <v>194.60890428085062</v>
      </c>
      <c r="F76" s="188">
        <v>-0.021125406863563657</v>
      </c>
      <c r="G76" s="45">
        <v>0.2</v>
      </c>
      <c r="H76" s="189">
        <v>75.4465</v>
      </c>
      <c r="I76" s="240">
        <v>0</v>
      </c>
      <c r="J76" s="214">
        <v>-181.36</v>
      </c>
      <c r="K76" s="188">
        <v>0.9847892285920401</v>
      </c>
      <c r="L76" s="187">
        <v>27.953461380950454</v>
      </c>
      <c r="M76" s="191">
        <v>222.56236566180107</v>
      </c>
      <c r="N76" s="213">
        <v>3.976952197500001</v>
      </c>
      <c r="O76" s="240">
        <v>31.391095719149376</v>
      </c>
      <c r="P76" s="213">
        <v>226</v>
      </c>
      <c r="Q76" s="194">
        <v>0.0515204626131679</v>
      </c>
      <c r="R76" s="164">
        <v>1977</v>
      </c>
      <c r="S76" s="156">
        <v>1930</v>
      </c>
      <c r="T76" s="195">
        <v>1972</v>
      </c>
    </row>
    <row r="77" spans="1:20" ht="12.75">
      <c r="A77" s="4" t="s">
        <v>184</v>
      </c>
      <c r="B77" s="185" t="s">
        <v>165</v>
      </c>
      <c r="C77" s="186">
        <v>7320.84798630137</v>
      </c>
      <c r="D77" s="117">
        <v>2.672109515</v>
      </c>
      <c r="E77" s="187">
        <v>112.54992043500003</v>
      </c>
      <c r="F77" s="188">
        <v>-0.014917090826477</v>
      </c>
      <c r="G77" s="45">
        <v>0.75</v>
      </c>
      <c r="H77" s="189">
        <v>109.785</v>
      </c>
      <c r="I77" s="240">
        <v>-0.855995</v>
      </c>
      <c r="J77" s="214">
        <v>-22</v>
      </c>
      <c r="K77" s="188">
        <v>0.9407692760169052</v>
      </c>
      <c r="L77" s="187">
        <v>68.31297287925</v>
      </c>
      <c r="M77" s="191">
        <v>180.86289331425002</v>
      </c>
      <c r="N77" s="213">
        <v>11.38710668574997</v>
      </c>
      <c r="O77" s="240">
        <v>79.70007956499997</v>
      </c>
      <c r="P77" s="213">
        <v>192.25</v>
      </c>
      <c r="Q77" s="194">
        <v>0.03243946221223821</v>
      </c>
      <c r="R77" s="164">
        <v>1999</v>
      </c>
      <c r="S77" s="156">
        <v>1977</v>
      </c>
      <c r="T77" s="195">
        <v>1998</v>
      </c>
    </row>
    <row r="78" spans="1:20" ht="12.75">
      <c r="A78" s="4" t="s">
        <v>185</v>
      </c>
      <c r="B78" s="185" t="s">
        <v>166</v>
      </c>
      <c r="C78" s="186">
        <v>7757.86301369863</v>
      </c>
      <c r="D78" s="117">
        <v>2.83162</v>
      </c>
      <c r="E78" s="187">
        <v>85.65925293000001</v>
      </c>
      <c r="F78" s="188">
        <v>0.03313688585462886</v>
      </c>
      <c r="G78" s="45">
        <v>0.34</v>
      </c>
      <c r="H78" s="189">
        <v>106.4123875</v>
      </c>
      <c r="I78" s="240">
        <v>-5.949478499999999</v>
      </c>
      <c r="J78" s="214">
        <v>-22.15</v>
      </c>
      <c r="K78" s="188">
        <v>0.9138784648516237</v>
      </c>
      <c r="L78" s="187">
        <v>77.55944089249999</v>
      </c>
      <c r="M78" s="191">
        <v>163.2186938225</v>
      </c>
      <c r="N78" s="213">
        <v>15.381306177499994</v>
      </c>
      <c r="O78" s="240">
        <v>92.94074706999999</v>
      </c>
      <c r="P78" s="213">
        <v>178.6</v>
      </c>
      <c r="Q78" s="194">
        <v>0.02956614821820545</v>
      </c>
      <c r="R78" s="164">
        <v>1999</v>
      </c>
      <c r="S78" s="156">
        <v>1961</v>
      </c>
      <c r="T78" s="195">
        <v>2006</v>
      </c>
    </row>
    <row r="79" spans="1:20" ht="12.75">
      <c r="A79" s="4" t="s">
        <v>186</v>
      </c>
      <c r="B79" s="185" t="s">
        <v>168</v>
      </c>
      <c r="C79" s="186">
        <v>3688</v>
      </c>
      <c r="D79" s="117">
        <v>1.34612</v>
      </c>
      <c r="E79" s="187">
        <v>45.70343715</v>
      </c>
      <c r="F79" s="188">
        <v>-0.01326109521760043</v>
      </c>
      <c r="G79" s="45">
        <v>0.62</v>
      </c>
      <c r="H79" s="189">
        <v>21.368249999999996</v>
      </c>
      <c r="I79" s="240">
        <v>-3.0906390000000004</v>
      </c>
      <c r="J79" s="214">
        <v>-1</v>
      </c>
      <c r="K79" s="188">
        <v>0.9522794828205127</v>
      </c>
      <c r="L79" s="187">
        <v>28.574362510000004</v>
      </c>
      <c r="M79" s="191">
        <v>74.27779966</v>
      </c>
      <c r="N79" s="213">
        <v>3.722200340000011</v>
      </c>
      <c r="O79" s="240">
        <v>32.296562850000015</v>
      </c>
      <c r="P79" s="213">
        <v>78</v>
      </c>
      <c r="Q79" s="194">
        <v>0.040012266738709265</v>
      </c>
      <c r="R79" s="164">
        <v>1999</v>
      </c>
      <c r="S79" s="156">
        <v>1967</v>
      </c>
      <c r="T79" s="195">
        <v>2000</v>
      </c>
    </row>
    <row r="80" spans="1:20" ht="12.75">
      <c r="A80" s="4" t="s">
        <v>187</v>
      </c>
      <c r="B80" s="185" t="s">
        <v>167</v>
      </c>
      <c r="C80" s="186">
        <v>5220.5</v>
      </c>
      <c r="D80" s="117">
        <v>1.9054825</v>
      </c>
      <c r="E80" s="187">
        <v>48.47188979999999</v>
      </c>
      <c r="F80" s="188">
        <v>-0.031035375602809306</v>
      </c>
      <c r="G80" s="45">
        <v>0.62</v>
      </c>
      <c r="H80" s="189">
        <v>16.475099999999998</v>
      </c>
      <c r="I80" s="240">
        <v>-0.180164</v>
      </c>
      <c r="J80" s="214">
        <v>-0.3</v>
      </c>
      <c r="K80" s="188">
        <v>0.9460266619972735</v>
      </c>
      <c r="L80" s="187">
        <v>20.919165857500005</v>
      </c>
      <c r="M80" s="191">
        <v>69.3910556575</v>
      </c>
      <c r="N80" s="213">
        <v>3.958944342499997</v>
      </c>
      <c r="O80" s="240">
        <v>24.878110200000002</v>
      </c>
      <c r="P80" s="213">
        <v>73.35</v>
      </c>
      <c r="Q80" s="194">
        <v>0.07114364832765697</v>
      </c>
      <c r="R80" s="164">
        <v>1999</v>
      </c>
      <c r="S80" s="156">
        <v>1974</v>
      </c>
      <c r="T80" s="195">
        <v>2000</v>
      </c>
    </row>
    <row r="81" spans="1:20" ht="12.75">
      <c r="A81" s="4" t="s">
        <v>188</v>
      </c>
      <c r="B81" s="185" t="s">
        <v>169</v>
      </c>
      <c r="C81" s="186">
        <v>2883</v>
      </c>
      <c r="D81" s="117">
        <v>1.052295</v>
      </c>
      <c r="E81" s="187">
        <v>28.337891900000002</v>
      </c>
      <c r="F81" s="188">
        <v>-0.0013169728232217117</v>
      </c>
      <c r="G81" s="45">
        <v>0.13</v>
      </c>
      <c r="H81" s="189">
        <v>31.80025</v>
      </c>
      <c r="I81" s="240">
        <v>-6.78893115</v>
      </c>
      <c r="J81" s="214">
        <v>-25</v>
      </c>
      <c r="K81" s="188">
        <v>0.9163853559390864</v>
      </c>
      <c r="L81" s="187">
        <v>16.794086880000002</v>
      </c>
      <c r="M81" s="191">
        <v>45.131978780000004</v>
      </c>
      <c r="N81" s="213">
        <v>4.118021219999996</v>
      </c>
      <c r="O81" s="240">
        <v>20.912108099999998</v>
      </c>
      <c r="P81" s="213">
        <v>49.25</v>
      </c>
      <c r="Q81" s="194">
        <v>0.04790910980867954</v>
      </c>
      <c r="R81" s="164">
        <v>2001</v>
      </c>
      <c r="S81" s="156">
        <v>1965</v>
      </c>
      <c r="T81" s="195">
        <v>2003</v>
      </c>
    </row>
    <row r="82" spans="1:20" ht="12.75">
      <c r="A82" s="234" t="s">
        <v>22</v>
      </c>
      <c r="B82" s="241"/>
      <c r="C82" s="200">
        <v>614.8</v>
      </c>
      <c r="D82" s="203">
        <v>0.22440199999999996</v>
      </c>
      <c r="E82" s="201">
        <v>4.036371388301217</v>
      </c>
      <c r="F82" s="242">
        <v>0.0678867102396514</v>
      </c>
      <c r="G82" s="243">
        <v>0</v>
      </c>
      <c r="H82" s="236">
        <v>2.2</v>
      </c>
      <c r="I82" s="236">
        <v>0</v>
      </c>
      <c r="J82" s="236">
        <v>-9.29</v>
      </c>
      <c r="K82" s="242">
        <v>0.7018185694150608</v>
      </c>
      <c r="L82" s="235">
        <v>2.9818143058493916</v>
      </c>
      <c r="M82" s="238">
        <v>7.018185694150608</v>
      </c>
      <c r="N82" s="239">
        <v>2.9818143058493916</v>
      </c>
      <c r="O82" s="236">
        <v>2.9818143058493916</v>
      </c>
      <c r="P82" s="239">
        <v>10</v>
      </c>
      <c r="Q82" s="209">
        <v>0.0362638800745033</v>
      </c>
      <c r="R82" s="210">
        <v>2009</v>
      </c>
      <c r="S82" s="211"/>
      <c r="T82" s="212">
        <v>2009</v>
      </c>
    </row>
    <row r="83" spans="1:20" ht="12.75">
      <c r="A83" s="4" t="s">
        <v>24</v>
      </c>
      <c r="B83" s="73"/>
      <c r="C83" s="246">
        <f>+'[1]I'!A156</f>
        <v>0</v>
      </c>
      <c r="D83" s="246">
        <f>+'[1]I'!B156</f>
        <v>0</v>
      </c>
      <c r="E83" s="189">
        <f>+'[1]I'!B71</f>
        <v>0</v>
      </c>
      <c r="F83" s="247"/>
      <c r="G83" s="248">
        <v>0</v>
      </c>
      <c r="H83" s="249">
        <f>+'[1]I'!I74</f>
        <v>0</v>
      </c>
      <c r="I83" s="250">
        <f>+'[1]I'!I75</f>
        <v>0</v>
      </c>
      <c r="J83" s="246">
        <f>+'[1]I'!I76</f>
        <v>0</v>
      </c>
      <c r="K83" s="251">
        <f>+'[1]I'!C75</f>
        <v>0</v>
      </c>
      <c r="L83" s="252">
        <v>20</v>
      </c>
      <c r="M83" s="246">
        <v>20</v>
      </c>
      <c r="N83" s="253">
        <v>20</v>
      </c>
      <c r="O83" s="253">
        <v>40</v>
      </c>
      <c r="P83" s="246">
        <v>40</v>
      </c>
      <c r="Q83" s="194"/>
      <c r="R83" s="191"/>
      <c r="S83" s="186"/>
      <c r="T83" s="254"/>
    </row>
    <row r="84" spans="1:20" ht="13.5" thickBot="1">
      <c r="A84" s="244" t="s">
        <v>189</v>
      </c>
      <c r="B84" s="245"/>
      <c r="C84" s="255">
        <v>46667.8342997822</v>
      </c>
      <c r="D84" s="255">
        <v>17.0337595194205</v>
      </c>
      <c r="E84" s="256">
        <v>715.2546746976234</v>
      </c>
      <c r="F84" s="257">
        <v>0.008016926904083368</v>
      </c>
      <c r="G84" s="258">
        <v>4.5</v>
      </c>
      <c r="H84" s="259">
        <v>482.79248749999994</v>
      </c>
      <c r="I84" s="255">
        <v>-32.637222650000005</v>
      </c>
      <c r="J84" s="255">
        <v>-298.1</v>
      </c>
      <c r="K84" s="260">
        <v>0.9224658547863124</v>
      </c>
      <c r="L84" s="259">
        <v>406.9250376499255</v>
      </c>
      <c r="M84" s="255">
        <v>1122.179712347549</v>
      </c>
      <c r="N84" s="261">
        <v>94.3202876524511</v>
      </c>
      <c r="O84" s="261">
        <v>501.2453253023766</v>
      </c>
      <c r="P84" s="255">
        <v>1216.5</v>
      </c>
      <c r="Q84" s="262">
        <v>0.032865998297572224</v>
      </c>
      <c r="R84" s="263">
        <v>1997</v>
      </c>
      <c r="S84" s="264">
        <v>1965</v>
      </c>
      <c r="T84" s="265">
        <v>2005</v>
      </c>
    </row>
    <row r="85" spans="1:20" ht="13.5" thickBot="1">
      <c r="A85" s="274" t="s">
        <v>30</v>
      </c>
      <c r="B85" s="73"/>
      <c r="C85" s="275">
        <v>66307.8342997822</v>
      </c>
      <c r="D85" s="275">
        <v>24.202359519420504</v>
      </c>
      <c r="E85" s="276">
        <v>967.4057527976231</v>
      </c>
      <c r="F85" s="277">
        <v>0.011406868680875084</v>
      </c>
      <c r="G85" s="278">
        <v>5.4</v>
      </c>
      <c r="H85" s="279">
        <v>1183.4349874999998</v>
      </c>
      <c r="I85" s="275">
        <v>-55.637222650000005</v>
      </c>
      <c r="J85" s="275">
        <v>-298.1</v>
      </c>
      <c r="K85" s="268">
        <v>0.9253492801750257</v>
      </c>
      <c r="L85" s="267">
        <v>790.7578795349256</v>
      </c>
      <c r="M85" s="266">
        <v>1758.1636323325488</v>
      </c>
      <c r="N85" s="269">
        <v>141.83636766745133</v>
      </c>
      <c r="O85" s="269">
        <v>932.5942472023769</v>
      </c>
      <c r="P85" s="266">
        <v>1900</v>
      </c>
      <c r="Q85" s="270">
        <v>0.025295197902450016</v>
      </c>
      <c r="R85" s="271">
        <v>2004</v>
      </c>
      <c r="S85" s="272">
        <v>1964</v>
      </c>
      <c r="T85" s="273">
        <v>2004</v>
      </c>
    </row>
    <row r="86" spans="1:20" ht="12.75">
      <c r="A86" s="286" t="s">
        <v>190</v>
      </c>
      <c r="B86" s="287" t="s">
        <v>162</v>
      </c>
      <c r="C86" s="288" t="s">
        <v>192</v>
      </c>
      <c r="D86" s="280"/>
      <c r="E86" s="280"/>
      <c r="F86" s="280"/>
      <c r="G86" s="280"/>
      <c r="H86" s="280"/>
      <c r="I86" s="280"/>
      <c r="J86" s="281"/>
      <c r="K86" s="291" t="s">
        <v>171</v>
      </c>
      <c r="L86" s="63" t="s">
        <v>201</v>
      </c>
      <c r="N86" s="63"/>
      <c r="O86" s="63"/>
      <c r="P86" s="63"/>
      <c r="Q86" s="63"/>
      <c r="R86" s="63"/>
      <c r="S86" s="63"/>
      <c r="T86" s="44"/>
    </row>
    <row r="87" spans="1:20" ht="12.75">
      <c r="A87" s="285" t="s">
        <v>191</v>
      </c>
      <c r="B87" s="156" t="s">
        <v>163</v>
      </c>
      <c r="C87" s="289" t="s">
        <v>193</v>
      </c>
      <c r="D87" s="63"/>
      <c r="E87" s="63"/>
      <c r="F87" s="63"/>
      <c r="G87" s="63"/>
      <c r="H87" s="63"/>
      <c r="I87" s="63"/>
      <c r="J87" s="44"/>
      <c r="K87" s="292" t="s">
        <v>172</v>
      </c>
      <c r="L87" s="63" t="s">
        <v>202</v>
      </c>
      <c r="N87" s="63"/>
      <c r="O87" s="63"/>
      <c r="P87" s="63"/>
      <c r="Q87" s="63"/>
      <c r="R87" s="63"/>
      <c r="S87" s="63"/>
      <c r="T87" s="44"/>
    </row>
    <row r="88" spans="1:20" ht="12.75">
      <c r="A88" s="120"/>
      <c r="B88" s="156" t="s">
        <v>164</v>
      </c>
      <c r="C88" s="289" t="s">
        <v>194</v>
      </c>
      <c r="D88" s="63"/>
      <c r="E88" s="63"/>
      <c r="F88" s="63"/>
      <c r="G88" s="63"/>
      <c r="H88" s="63"/>
      <c r="I88" s="63"/>
      <c r="J88" s="44"/>
      <c r="K88" s="292" t="s">
        <v>173</v>
      </c>
      <c r="L88" s="63" t="s">
        <v>203</v>
      </c>
      <c r="N88" s="63"/>
      <c r="O88" s="63"/>
      <c r="P88" s="63"/>
      <c r="Q88" s="63"/>
      <c r="R88" s="63"/>
      <c r="S88" s="63"/>
      <c r="T88" s="44"/>
    </row>
    <row r="89" spans="1:20" ht="12.75">
      <c r="A89" s="120"/>
      <c r="B89" s="156" t="s">
        <v>165</v>
      </c>
      <c r="C89" s="289" t="s">
        <v>195</v>
      </c>
      <c r="D89" s="63"/>
      <c r="E89" s="63"/>
      <c r="F89" s="63"/>
      <c r="G89" s="63"/>
      <c r="H89" s="63"/>
      <c r="I89" s="63"/>
      <c r="J89" s="44"/>
      <c r="K89" s="292" t="s">
        <v>174</v>
      </c>
      <c r="L89" s="63" t="s">
        <v>204</v>
      </c>
      <c r="N89" s="63"/>
      <c r="O89" s="63"/>
      <c r="P89" s="63"/>
      <c r="Q89" s="63"/>
      <c r="R89" s="63"/>
      <c r="S89" s="63"/>
      <c r="T89" s="44"/>
    </row>
    <row r="90" spans="1:20" ht="12.75">
      <c r="A90" s="120"/>
      <c r="B90" s="156" t="s">
        <v>166</v>
      </c>
      <c r="C90" s="289" t="s">
        <v>196</v>
      </c>
      <c r="D90" s="63"/>
      <c r="E90" s="63"/>
      <c r="F90" s="63"/>
      <c r="G90" s="63"/>
      <c r="H90" s="63"/>
      <c r="I90" s="63"/>
      <c r="J90" s="44"/>
      <c r="K90" s="292" t="s">
        <v>175</v>
      </c>
      <c r="L90" s="63" t="s">
        <v>205</v>
      </c>
      <c r="N90" s="63"/>
      <c r="O90" s="63"/>
      <c r="P90" s="63"/>
      <c r="Q90" s="63"/>
      <c r="R90" s="63"/>
      <c r="S90" s="63"/>
      <c r="T90" s="44"/>
    </row>
    <row r="91" spans="1:20" ht="12.75">
      <c r="A91" s="120"/>
      <c r="B91" s="156" t="s">
        <v>167</v>
      </c>
      <c r="C91" s="289" t="s">
        <v>197</v>
      </c>
      <c r="D91" s="63"/>
      <c r="E91" s="63"/>
      <c r="F91" s="63"/>
      <c r="G91" s="63"/>
      <c r="H91" s="63"/>
      <c r="I91" s="63"/>
      <c r="J91" s="44"/>
      <c r="K91" s="292" t="s">
        <v>176</v>
      </c>
      <c r="L91" s="63" t="s">
        <v>206</v>
      </c>
      <c r="N91" s="63"/>
      <c r="O91" s="63"/>
      <c r="P91" s="63"/>
      <c r="Q91" s="63"/>
      <c r="R91" s="63"/>
      <c r="S91" s="63"/>
      <c r="T91" s="44"/>
    </row>
    <row r="92" spans="1:20" ht="12.75">
      <c r="A92" s="120"/>
      <c r="B92" s="156" t="s">
        <v>168</v>
      </c>
      <c r="C92" s="289" t="s">
        <v>198</v>
      </c>
      <c r="D92" s="63"/>
      <c r="E92" s="63"/>
      <c r="F92" s="63"/>
      <c r="G92" s="63"/>
      <c r="H92" s="63"/>
      <c r="I92" s="63"/>
      <c r="J92" s="44"/>
      <c r="K92" s="292" t="s">
        <v>177</v>
      </c>
      <c r="L92" s="63" t="s">
        <v>207</v>
      </c>
      <c r="N92" s="63"/>
      <c r="O92" s="63"/>
      <c r="P92" s="63"/>
      <c r="Q92" s="63"/>
      <c r="R92" s="63"/>
      <c r="S92" s="63"/>
      <c r="T92" s="44"/>
    </row>
    <row r="93" spans="1:20" ht="12.75">
      <c r="A93" s="120"/>
      <c r="B93" s="156" t="s">
        <v>169</v>
      </c>
      <c r="C93" s="289" t="s">
        <v>199</v>
      </c>
      <c r="D93" s="63"/>
      <c r="E93" s="63"/>
      <c r="F93" s="63"/>
      <c r="G93" s="63"/>
      <c r="H93" s="63"/>
      <c r="I93" s="63"/>
      <c r="J93" s="44"/>
      <c r="K93" s="292" t="s">
        <v>178</v>
      </c>
      <c r="L93" s="63" t="s">
        <v>208</v>
      </c>
      <c r="N93" s="63"/>
      <c r="O93" s="63"/>
      <c r="P93" s="63"/>
      <c r="Q93" s="63"/>
      <c r="R93" s="63"/>
      <c r="S93" s="63"/>
      <c r="T93" s="44"/>
    </row>
    <row r="94" spans="1:20" ht="13.5" thickBot="1">
      <c r="A94" s="282"/>
      <c r="B94" s="166" t="s">
        <v>170</v>
      </c>
      <c r="C94" s="290" t="s">
        <v>200</v>
      </c>
      <c r="D94" s="283"/>
      <c r="E94" s="283"/>
      <c r="F94" s="283"/>
      <c r="G94" s="283"/>
      <c r="H94" s="283"/>
      <c r="I94" s="283"/>
      <c r="J94" s="284"/>
      <c r="K94" s="293" t="s">
        <v>179</v>
      </c>
      <c r="L94" s="283" t="s">
        <v>209</v>
      </c>
      <c r="M94" s="283"/>
      <c r="N94" s="283"/>
      <c r="O94" s="283"/>
      <c r="P94" s="283"/>
      <c r="Q94" s="283"/>
      <c r="R94" s="283"/>
      <c r="S94" s="283"/>
      <c r="T94" s="284"/>
    </row>
  </sheetData>
  <mergeCells count="6">
    <mergeCell ref="Q1:S1"/>
    <mergeCell ref="Q2:R2"/>
    <mergeCell ref="B3:B6"/>
    <mergeCell ref="P3:P4"/>
    <mergeCell ref="Q3:R4"/>
    <mergeCell ref="S3:T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D3" sqref="D3"/>
    </sheetView>
  </sheetViews>
  <sheetFormatPr defaultColWidth="9.140625" defaultRowHeight="12.75"/>
  <cols>
    <col min="1" max="1" width="12.140625" style="0" customWidth="1"/>
    <col min="2" max="2" width="7.57421875" style="0" customWidth="1"/>
    <col min="3" max="3" width="6.421875" style="0" customWidth="1"/>
    <col min="4" max="4" width="6.140625" style="0" customWidth="1"/>
    <col min="5" max="5" width="7.28125" style="0" customWidth="1"/>
    <col min="6" max="6" width="7.421875" style="0" customWidth="1"/>
    <col min="7" max="7" width="13.00390625" style="0" customWidth="1"/>
    <col min="8" max="8" width="6.00390625" style="0" customWidth="1"/>
    <col min="9" max="9" width="7.57421875" style="0" customWidth="1"/>
    <col min="10" max="10" width="7.140625" style="0" customWidth="1"/>
    <col min="11" max="11" width="6.421875" style="0" customWidth="1"/>
    <col min="12" max="12" width="7.140625" style="0" customWidth="1"/>
  </cols>
  <sheetData>
    <row r="1" spans="1:12" ht="17.25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/>
      <c r="E2" t="s">
        <v>1</v>
      </c>
      <c r="G2" s="5">
        <v>38944</v>
      </c>
      <c r="L2" s="6">
        <v>2005</v>
      </c>
    </row>
    <row r="3" spans="1:12" ht="12.75">
      <c r="A3" s="7" t="s">
        <v>2</v>
      </c>
      <c r="B3" s="8"/>
      <c r="C3" s="8"/>
      <c r="D3" s="8"/>
      <c r="E3" s="8"/>
      <c r="F3" s="9"/>
      <c r="G3" s="10" t="s">
        <v>3</v>
      </c>
      <c r="H3" s="8"/>
      <c r="I3" s="8"/>
      <c r="J3" s="8"/>
      <c r="K3" s="8"/>
      <c r="L3" s="11"/>
    </row>
    <row r="4" spans="1:12" ht="13.5" thickBot="1">
      <c r="A4" s="12" t="s">
        <v>4</v>
      </c>
      <c r="B4" s="13">
        <v>2000</v>
      </c>
      <c r="C4" s="13">
        <v>2005</v>
      </c>
      <c r="D4" s="13">
        <v>2010</v>
      </c>
      <c r="E4" s="14">
        <v>2020</v>
      </c>
      <c r="F4" s="15">
        <v>2030</v>
      </c>
      <c r="G4" s="16" t="s">
        <v>4</v>
      </c>
      <c r="H4" s="13">
        <v>2000</v>
      </c>
      <c r="I4" s="17">
        <v>2005</v>
      </c>
      <c r="J4" s="17">
        <v>2010</v>
      </c>
      <c r="K4" s="17">
        <v>2020</v>
      </c>
      <c r="L4" s="18">
        <v>2030</v>
      </c>
    </row>
    <row r="5" spans="1:12" ht="12.75">
      <c r="A5" s="19" t="s">
        <v>5</v>
      </c>
      <c r="B5" s="20">
        <v>6.325</v>
      </c>
      <c r="C5" s="21">
        <v>9.215</v>
      </c>
      <c r="D5" s="22">
        <v>8.486326127216579</v>
      </c>
      <c r="E5" s="22">
        <v>5.651102256031882</v>
      </c>
      <c r="F5" s="23">
        <v>3.763107407068615</v>
      </c>
      <c r="G5" s="24" t="s">
        <v>6</v>
      </c>
      <c r="H5" s="20">
        <v>18.538400000000003</v>
      </c>
      <c r="I5" s="25">
        <v>19.64</v>
      </c>
      <c r="J5" s="25">
        <v>19.117242850293582</v>
      </c>
      <c r="K5" s="25">
        <v>19.418063335475527</v>
      </c>
      <c r="L5" s="26">
        <v>18.025343909963706</v>
      </c>
    </row>
    <row r="6" spans="1:12" ht="12.75">
      <c r="A6" s="27" t="s">
        <v>7</v>
      </c>
      <c r="B6" s="28">
        <v>7.995</v>
      </c>
      <c r="C6" s="29">
        <v>9.155</v>
      </c>
      <c r="D6" s="30">
        <v>9.04109589041096</v>
      </c>
      <c r="E6" s="30">
        <v>9.04109589041096</v>
      </c>
      <c r="F6" s="31">
        <v>7.747078567148064</v>
      </c>
      <c r="G6" s="32" t="s">
        <v>8</v>
      </c>
      <c r="H6" s="33">
        <v>11.06275</v>
      </c>
      <c r="I6" s="34">
        <v>14.828700000000001</v>
      </c>
      <c r="J6" s="34">
        <v>15.056999311041</v>
      </c>
      <c r="K6" s="35">
        <v>11.004498242355163</v>
      </c>
      <c r="L6" s="36">
        <v>7.8618248336161</v>
      </c>
    </row>
    <row r="7" spans="1:12" ht="12.75">
      <c r="A7" s="27" t="s">
        <v>9</v>
      </c>
      <c r="B7" s="28">
        <v>3.6816999999999998</v>
      </c>
      <c r="C7" s="29">
        <v>3.88</v>
      </c>
      <c r="D7" s="30">
        <v>3.945205479452055</v>
      </c>
      <c r="E7" s="30">
        <v>3.945205479452055</v>
      </c>
      <c r="F7" s="31">
        <v>3.945205479452055</v>
      </c>
      <c r="G7" s="32" t="s">
        <v>10</v>
      </c>
      <c r="H7" s="33">
        <v>5.30486301369863</v>
      </c>
      <c r="I7" s="37">
        <v>4.671597301758655</v>
      </c>
      <c r="J7" s="37">
        <v>3.5773223043123275</v>
      </c>
      <c r="K7" s="30">
        <v>2.102874061630884</v>
      </c>
      <c r="L7" s="38">
        <v>1.239941004899753</v>
      </c>
    </row>
    <row r="8" spans="1:12" ht="12.75">
      <c r="A8" s="27" t="s">
        <v>11</v>
      </c>
      <c r="B8" s="28">
        <v>3.2373000000000003</v>
      </c>
      <c r="C8" s="29">
        <v>3.635</v>
      </c>
      <c r="D8" s="30">
        <v>2.873854791738377</v>
      </c>
      <c r="E8" s="30">
        <v>1.7963279667976626</v>
      </c>
      <c r="F8" s="31">
        <v>1.1228104403798207</v>
      </c>
      <c r="G8" s="32" t="s">
        <v>12</v>
      </c>
      <c r="H8" s="33">
        <v>8.037376712328767</v>
      </c>
      <c r="I8" s="37">
        <v>7.32084798630137</v>
      </c>
      <c r="J8" s="37">
        <v>5.963613181834472</v>
      </c>
      <c r="K8" s="30">
        <v>4.033017395227662</v>
      </c>
      <c r="L8" s="38">
        <v>2.800035569515604</v>
      </c>
    </row>
    <row r="9" spans="1:12" ht="12.75">
      <c r="A9" s="27" t="s">
        <v>13</v>
      </c>
      <c r="B9" s="28">
        <v>4.22286301369863</v>
      </c>
      <c r="C9" s="29">
        <v>3.5876931800586553</v>
      </c>
      <c r="D9" s="28">
        <v>2.790877106483127</v>
      </c>
      <c r="E9" s="28">
        <v>1.6888518326177204</v>
      </c>
      <c r="F9" s="31">
        <v>1.0219799739338602</v>
      </c>
      <c r="G9" s="32" t="s">
        <v>14</v>
      </c>
      <c r="H9" s="33">
        <v>6.733899999999999</v>
      </c>
      <c r="I9" s="37">
        <v>7.75786301369863</v>
      </c>
      <c r="J9" s="37">
        <v>7.401381555632502</v>
      </c>
      <c r="K9" s="30">
        <v>5.197214126878522</v>
      </c>
      <c r="L9" s="38">
        <v>3.668270995516877</v>
      </c>
    </row>
    <row r="10" spans="1:12" ht="12.75">
      <c r="A10" s="39" t="s">
        <v>15</v>
      </c>
      <c r="B10" s="40">
        <v>3.012</v>
      </c>
      <c r="C10" s="41">
        <v>3.32</v>
      </c>
      <c r="D10" s="42">
        <v>2.549310167191599</v>
      </c>
      <c r="E10" s="42">
        <v>1.5031138160983097</v>
      </c>
      <c r="F10" s="43">
        <v>0.8862598098977487</v>
      </c>
      <c r="G10" s="32" t="s">
        <v>16</v>
      </c>
      <c r="H10" s="33">
        <v>6.3393</v>
      </c>
      <c r="I10" s="37">
        <v>5.221</v>
      </c>
      <c r="J10" s="37">
        <v>3.523</v>
      </c>
      <c r="K10" s="30">
        <v>1.618</v>
      </c>
      <c r="L10" s="38">
        <v>0.754</v>
      </c>
    </row>
    <row r="11" spans="1:12" ht="12.75">
      <c r="A11" s="27" t="s">
        <v>17</v>
      </c>
      <c r="B11" s="28">
        <v>3.212</v>
      </c>
      <c r="C11" s="29">
        <v>2.71</v>
      </c>
      <c r="D11" s="30">
        <v>1.794</v>
      </c>
      <c r="E11" s="30">
        <v>0.7863</v>
      </c>
      <c r="F11" s="31">
        <v>0.3446</v>
      </c>
      <c r="G11" s="32" t="s">
        <v>18</v>
      </c>
      <c r="H11" s="33">
        <v>2.9156099999999996</v>
      </c>
      <c r="I11" s="37">
        <v>2.883</v>
      </c>
      <c r="J11" s="37">
        <v>2.223911055865759</v>
      </c>
      <c r="K11" s="30">
        <v>1.3402599634431864</v>
      </c>
      <c r="L11" s="38">
        <v>0.8208764468271975</v>
      </c>
    </row>
    <row r="12" spans="1:12" ht="12.75">
      <c r="A12" s="27" t="s">
        <v>19</v>
      </c>
      <c r="B12" s="28">
        <v>2.03</v>
      </c>
      <c r="C12" s="29">
        <v>2.379</v>
      </c>
      <c r="D12" s="30">
        <v>2.0637848117682474</v>
      </c>
      <c r="E12" s="30">
        <v>1.5531176382283998</v>
      </c>
      <c r="F12" s="31">
        <v>1.16881100414215</v>
      </c>
      <c r="G12" s="44" t="s">
        <v>20</v>
      </c>
      <c r="H12" s="45">
        <v>4.021199999999999</v>
      </c>
      <c r="I12" s="45">
        <v>3.688</v>
      </c>
      <c r="J12" s="45">
        <v>3.0435267563708384</v>
      </c>
      <c r="K12" s="45">
        <v>1.9718378345588783</v>
      </c>
      <c r="L12" s="46">
        <v>1.2921843721883872</v>
      </c>
    </row>
    <row r="13" spans="1:12" ht="12.75">
      <c r="A13" s="27" t="s">
        <v>21</v>
      </c>
      <c r="B13" s="28">
        <v>1.765</v>
      </c>
      <c r="C13" s="29">
        <v>2.14</v>
      </c>
      <c r="D13" s="30">
        <v>2</v>
      </c>
      <c r="E13" s="30">
        <v>2</v>
      </c>
      <c r="F13" s="31">
        <v>2</v>
      </c>
      <c r="G13" s="32" t="s">
        <v>22</v>
      </c>
      <c r="H13" s="33">
        <v>0.465</v>
      </c>
      <c r="I13" s="37">
        <v>0.615</v>
      </c>
      <c r="J13" s="37">
        <v>0.708</v>
      </c>
      <c r="K13" s="30">
        <v>0.414</v>
      </c>
      <c r="L13" s="38">
        <v>0.242</v>
      </c>
    </row>
    <row r="14" spans="1:12" ht="12.75">
      <c r="A14" s="27" t="s">
        <v>23</v>
      </c>
      <c r="B14" s="28">
        <v>1.9</v>
      </c>
      <c r="C14" s="29">
        <v>2.05</v>
      </c>
      <c r="D14" s="30">
        <v>2.0547945205479454</v>
      </c>
      <c r="E14" s="30">
        <v>2.0547945205479454</v>
      </c>
      <c r="F14" s="31">
        <v>2.0547945205479454</v>
      </c>
      <c r="G14" s="32" t="s">
        <v>24</v>
      </c>
      <c r="H14" s="33"/>
      <c r="I14" s="37"/>
      <c r="J14" s="37">
        <v>0.401</v>
      </c>
      <c r="K14" s="47">
        <v>1.04</v>
      </c>
      <c r="L14" s="48">
        <v>2.699</v>
      </c>
    </row>
    <row r="15" spans="1:12" ht="12.75">
      <c r="A15" s="39" t="s">
        <v>25</v>
      </c>
      <c r="B15" s="40">
        <v>2.5136999999999996</v>
      </c>
      <c r="C15" s="41">
        <v>1.865</v>
      </c>
      <c r="D15" s="42">
        <v>1.25232233959309</v>
      </c>
      <c r="E15" s="42">
        <v>0.5646647942835898</v>
      </c>
      <c r="F15" s="43">
        <v>0.2546040422842971</v>
      </c>
      <c r="G15" s="49" t="s">
        <v>26</v>
      </c>
      <c r="H15" s="50">
        <f>SUM(H6:H14)</f>
        <v>44.8799997260274</v>
      </c>
      <c r="I15" s="50">
        <f>SUM(I6:I14)</f>
        <v>46.98600830175866</v>
      </c>
      <c r="J15" s="50">
        <f>SUM(J6:J14)</f>
        <v>41.8987541650569</v>
      </c>
      <c r="K15" s="50">
        <f>SUM(K6:K14)</f>
        <v>28.721701624094298</v>
      </c>
      <c r="L15" s="51">
        <f>SUM(L6:L14)</f>
        <v>21.378133222563918</v>
      </c>
    </row>
    <row r="16" spans="1:12" ht="12.75">
      <c r="A16" s="27" t="s">
        <v>27</v>
      </c>
      <c r="B16" s="28">
        <v>2.5667</v>
      </c>
      <c r="C16" s="29">
        <v>1.84</v>
      </c>
      <c r="D16" s="30">
        <v>1.589041095890411</v>
      </c>
      <c r="E16" s="30">
        <v>2.0273972602739727</v>
      </c>
      <c r="F16" s="31">
        <v>2.0273972602739727</v>
      </c>
      <c r="G16" s="32" t="s">
        <v>28</v>
      </c>
      <c r="H16" s="52">
        <f>+H5/H17</f>
        <v>0.2923207922041061</v>
      </c>
      <c r="I16" s="52">
        <f>+I5/I17</f>
        <v>0.29619352114375336</v>
      </c>
      <c r="J16" s="52">
        <f>+J5/J17</f>
        <v>0.31347964794525746</v>
      </c>
      <c r="K16" s="52">
        <f>+K5/K17</f>
        <v>0.4020386205817</v>
      </c>
      <c r="L16" s="53">
        <f>+L5/L17</f>
        <v>0.4565689946799318</v>
      </c>
    </row>
    <row r="17" spans="1:12" ht="13.5" thickBot="1">
      <c r="A17" s="27" t="s">
        <v>29</v>
      </c>
      <c r="B17" s="28">
        <v>2.5738000000000003</v>
      </c>
      <c r="C17" s="29">
        <v>1.80625</v>
      </c>
      <c r="D17" s="30">
        <v>1.6624428832330604</v>
      </c>
      <c r="E17" s="30">
        <v>1.4082653027938372</v>
      </c>
      <c r="F17" s="31">
        <v>1.1929499551865137</v>
      </c>
      <c r="G17" s="54" t="s">
        <v>30</v>
      </c>
      <c r="H17" s="55">
        <v>63.418</v>
      </c>
      <c r="I17" s="55">
        <v>66.308</v>
      </c>
      <c r="J17" s="55">
        <v>60.984</v>
      </c>
      <c r="K17" s="55">
        <v>48.299</v>
      </c>
      <c r="L17" s="56">
        <v>39.48</v>
      </c>
    </row>
    <row r="18" spans="1:12" ht="13.5" thickBot="1">
      <c r="A18" s="27" t="s">
        <v>31</v>
      </c>
      <c r="B18" s="28">
        <v>1.41</v>
      </c>
      <c r="C18" s="29">
        <v>1.64</v>
      </c>
      <c r="D18" s="30">
        <v>2.093101762500001</v>
      </c>
      <c r="E18" s="30">
        <v>1.5828918048556204</v>
      </c>
      <c r="F18" s="31">
        <v>1.1970495227553863</v>
      </c>
      <c r="G18" s="57" t="s">
        <v>32</v>
      </c>
      <c r="H18" s="58"/>
      <c r="I18" s="58"/>
      <c r="J18" s="58"/>
      <c r="K18" s="58"/>
      <c r="L18" s="59"/>
    </row>
    <row r="19" spans="1:12" ht="13.5" thickBot="1">
      <c r="A19" s="27" t="s">
        <v>33</v>
      </c>
      <c r="B19" s="28">
        <v>0.808</v>
      </c>
      <c r="C19" s="29">
        <v>1.35</v>
      </c>
      <c r="D19" s="30">
        <v>1.2251816698256046</v>
      </c>
      <c r="E19" s="30">
        <v>0.8509304174323546</v>
      </c>
      <c r="F19" s="31">
        <v>0.5910001701336822</v>
      </c>
      <c r="G19" s="60" t="s">
        <v>34</v>
      </c>
      <c r="H19" s="61"/>
      <c r="I19" s="61"/>
      <c r="J19" s="61"/>
      <c r="K19" s="61"/>
      <c r="L19" s="59"/>
    </row>
    <row r="20" spans="1:12" ht="12.75">
      <c r="A20" s="39" t="s">
        <v>35</v>
      </c>
      <c r="B20" s="40">
        <v>1.082</v>
      </c>
      <c r="C20" s="41">
        <v>1.0839041216999998</v>
      </c>
      <c r="D20" s="42">
        <v>0.7864451978292004</v>
      </c>
      <c r="E20" s="42">
        <v>0.414022229013163</v>
      </c>
      <c r="F20" s="43">
        <v>0.21796103096589278</v>
      </c>
      <c r="G20" s="62" t="s">
        <v>36</v>
      </c>
      <c r="H20" s="63"/>
      <c r="I20" s="63"/>
      <c r="J20" s="63"/>
      <c r="K20" s="63"/>
      <c r="L20" s="64" t="s">
        <v>4</v>
      </c>
    </row>
    <row r="21" spans="1:12" ht="12.75">
      <c r="A21" s="27" t="s">
        <v>37</v>
      </c>
      <c r="B21" s="28">
        <v>0.675</v>
      </c>
      <c r="C21" s="29">
        <v>0.97</v>
      </c>
      <c r="D21" s="30">
        <v>2.0547945205479454</v>
      </c>
      <c r="E21" s="30">
        <v>2.0547945205479454</v>
      </c>
      <c r="F21" s="31">
        <v>2.0547945205479454</v>
      </c>
      <c r="G21" s="65" t="s">
        <v>38</v>
      </c>
      <c r="H21" s="66">
        <f>H22+H23+H24+H25</f>
        <v>1.654</v>
      </c>
      <c r="I21" s="66">
        <f>I22+I23+I24+I25</f>
        <v>2.238</v>
      </c>
      <c r="J21" s="66">
        <f>J22+J23+J24+J25</f>
        <v>3.2669999999999995</v>
      </c>
      <c r="K21" s="66">
        <f>K22+K23+K24+K25</f>
        <v>4.481</v>
      </c>
      <c r="L21" s="67">
        <f>L22+L23+L24+L25</f>
        <v>4.272</v>
      </c>
    </row>
    <row r="22" spans="1:12" ht="12.75">
      <c r="A22" s="27" t="s">
        <v>39</v>
      </c>
      <c r="B22" s="28">
        <v>1.2672999999999999</v>
      </c>
      <c r="C22" s="29">
        <v>0.945</v>
      </c>
      <c r="D22" s="30">
        <v>0.8109739107314782</v>
      </c>
      <c r="E22" s="30">
        <v>0.5972512015639645</v>
      </c>
      <c r="F22" s="31">
        <v>0.4398526180057467</v>
      </c>
      <c r="G22" s="68" t="s">
        <v>35</v>
      </c>
      <c r="H22" s="37">
        <v>0.953</v>
      </c>
      <c r="I22" s="37">
        <v>1.209</v>
      </c>
      <c r="J22" s="37">
        <v>1.617</v>
      </c>
      <c r="K22" s="30">
        <v>2.5</v>
      </c>
      <c r="L22" s="38">
        <v>2.5</v>
      </c>
    </row>
    <row r="23" spans="1:12" ht="12.75">
      <c r="A23" s="27" t="s">
        <v>40</v>
      </c>
      <c r="B23" s="69">
        <v>0.69</v>
      </c>
      <c r="C23" s="70">
        <v>0.828</v>
      </c>
      <c r="D23" s="71">
        <v>0.6416989794251181</v>
      </c>
      <c r="E23" s="71">
        <v>0.38541922355455915</v>
      </c>
      <c r="F23" s="72">
        <v>0.23149168480598117</v>
      </c>
      <c r="G23" s="68" t="s">
        <v>41</v>
      </c>
      <c r="H23" s="37">
        <v>0.247</v>
      </c>
      <c r="I23" s="37">
        <v>0.589</v>
      </c>
      <c r="J23" s="37">
        <v>1.164</v>
      </c>
      <c r="K23" s="30">
        <v>1.473</v>
      </c>
      <c r="L23" s="38">
        <v>1.251</v>
      </c>
    </row>
    <row r="24" spans="1:12" ht="12.75">
      <c r="A24" s="27" t="s">
        <v>42</v>
      </c>
      <c r="B24" s="69">
        <v>0.6882999999999999</v>
      </c>
      <c r="C24" s="70">
        <v>0.8</v>
      </c>
      <c r="D24" s="71">
        <v>0.6591766767885013</v>
      </c>
      <c r="E24" s="71">
        <v>0.44753347317830294</v>
      </c>
      <c r="F24" s="72">
        <v>0.3038429857543293</v>
      </c>
      <c r="G24" s="73" t="s">
        <v>43</v>
      </c>
      <c r="H24" s="37">
        <v>0.454</v>
      </c>
      <c r="I24" s="37">
        <v>0.271</v>
      </c>
      <c r="J24" s="37">
        <v>0.271</v>
      </c>
      <c r="K24" s="30">
        <v>0.245</v>
      </c>
      <c r="L24" s="38">
        <v>0.201</v>
      </c>
    </row>
    <row r="25" spans="1:12" ht="12.75">
      <c r="A25" s="39" t="s">
        <v>44</v>
      </c>
      <c r="B25" s="74">
        <v>0.9332999999999999</v>
      </c>
      <c r="C25" s="75">
        <v>0.765</v>
      </c>
      <c r="D25" s="76">
        <v>0.6127847252046393</v>
      </c>
      <c r="E25" s="76">
        <v>0.3931886051202591</v>
      </c>
      <c r="F25" s="77">
        <v>0.25228644389722243</v>
      </c>
      <c r="G25" s="68" t="s">
        <v>45</v>
      </c>
      <c r="H25" s="37">
        <v>0</v>
      </c>
      <c r="I25" s="37">
        <v>0.169</v>
      </c>
      <c r="J25" s="37">
        <v>0.215</v>
      </c>
      <c r="K25" s="30">
        <v>0.263</v>
      </c>
      <c r="L25" s="38">
        <v>0.32</v>
      </c>
    </row>
    <row r="26" spans="1:12" ht="12.75">
      <c r="A26" s="27" t="s">
        <v>46</v>
      </c>
      <c r="B26" s="69">
        <v>0.81</v>
      </c>
      <c r="C26" s="70">
        <v>0.696</v>
      </c>
      <c r="D26" s="71">
        <v>0.5300682819763258</v>
      </c>
      <c r="E26" s="71">
        <v>0.3074517535238907</v>
      </c>
      <c r="F26" s="72">
        <v>0.17832906430937337</v>
      </c>
      <c r="G26" s="78" t="s">
        <v>47</v>
      </c>
      <c r="H26" s="79">
        <f>H27+H28+H29+H30+H31</f>
        <v>1.5890410958904113</v>
      </c>
      <c r="I26" s="79">
        <f>I27+I28+I29+I30+I31</f>
        <v>3.616438356164383</v>
      </c>
      <c r="J26" s="79">
        <f>J27+J28+J29+J30+J31</f>
        <v>11.835616438356166</v>
      </c>
      <c r="K26" s="79">
        <f>K27+K28+K29+K30+K31</f>
        <v>6.383561643835616</v>
      </c>
      <c r="L26" s="80">
        <f>L27+L28+L29+L30+L31</f>
        <v>0.6027397260273972</v>
      </c>
    </row>
    <row r="27" spans="1:12" ht="12.75">
      <c r="A27" s="27" t="s">
        <v>48</v>
      </c>
      <c r="B27" s="69">
        <v>0.646</v>
      </c>
      <c r="C27" s="70">
        <v>0.66</v>
      </c>
      <c r="D27" s="71">
        <v>0.5364856071514916</v>
      </c>
      <c r="E27" s="71">
        <v>0.3544756067045485</v>
      </c>
      <c r="F27" s="72">
        <v>0.234214961358835</v>
      </c>
      <c r="G27" s="73" t="s">
        <v>49</v>
      </c>
      <c r="H27" s="37">
        <f>0.23/0.365</f>
        <v>0.6301369863013699</v>
      </c>
      <c r="I27" s="37">
        <f>0.36/0.365</f>
        <v>0.9863013698630136</v>
      </c>
      <c r="J27" s="37">
        <f>0.87/0.365</f>
        <v>2.3835616438356166</v>
      </c>
      <c r="K27" s="30">
        <f>0.63/0.365</f>
        <v>1.726027397260274</v>
      </c>
      <c r="L27" s="81">
        <f>0.12/0.365</f>
        <v>0.3287671232876712</v>
      </c>
    </row>
    <row r="28" spans="1:12" ht="12.75">
      <c r="A28" s="27" t="s">
        <v>50</v>
      </c>
      <c r="B28" s="69">
        <v>0.7507</v>
      </c>
      <c r="C28" s="70">
        <v>0.608461</v>
      </c>
      <c r="D28" s="71">
        <v>0.4641175750505661</v>
      </c>
      <c r="E28" s="71">
        <v>0.2700340621656487</v>
      </c>
      <c r="F28" s="72">
        <v>0.15711190148689547</v>
      </c>
      <c r="G28" s="73" t="s">
        <v>51</v>
      </c>
      <c r="H28" s="37">
        <f>0.28/0.365</f>
        <v>0.767123287671233</v>
      </c>
      <c r="I28" s="37">
        <f>0.58/0.365</f>
        <v>1.5890410958904109</v>
      </c>
      <c r="J28" s="37">
        <f>1.6/0.365</f>
        <v>4.383561643835617</v>
      </c>
      <c r="K28" s="30">
        <f>0.5/0.365</f>
        <v>1.36986301369863</v>
      </c>
      <c r="L28" s="38">
        <f>0.03/0.365</f>
        <v>0.0821917808219178</v>
      </c>
    </row>
    <row r="29" spans="1:12" ht="12.75">
      <c r="A29" s="27" t="s">
        <v>52</v>
      </c>
      <c r="B29" s="69">
        <v>0.74</v>
      </c>
      <c r="C29" s="70">
        <v>0.59486301369863</v>
      </c>
      <c r="D29" s="71">
        <v>0.46287015752268934</v>
      </c>
      <c r="E29" s="71">
        <v>0.2802487025707456</v>
      </c>
      <c r="F29" s="72">
        <v>0.1696789780376721</v>
      </c>
      <c r="G29" s="68" t="s">
        <v>52</v>
      </c>
      <c r="H29" s="37">
        <v>0</v>
      </c>
      <c r="I29" s="37">
        <f>0.23/0.365</f>
        <v>0.6301369863013699</v>
      </c>
      <c r="J29" s="37">
        <f>0.99/0.365</f>
        <v>2.712328767123288</v>
      </c>
      <c r="K29" s="30">
        <f>0.45/0.365</f>
        <v>1.2328767123287672</v>
      </c>
      <c r="L29" s="38">
        <v>0</v>
      </c>
    </row>
    <row r="30" spans="1:12" ht="12.75">
      <c r="A30" s="39" t="s">
        <v>53</v>
      </c>
      <c r="B30" s="74">
        <v>0.63</v>
      </c>
      <c r="C30" s="75">
        <v>0.575</v>
      </c>
      <c r="D30" s="76">
        <v>0.4871058639922123</v>
      </c>
      <c r="E30" s="76">
        <v>0.3495701847905951</v>
      </c>
      <c r="F30" s="77">
        <v>0.25086808254167203</v>
      </c>
      <c r="G30" s="68" t="s">
        <v>19</v>
      </c>
      <c r="H30" s="37">
        <v>0</v>
      </c>
      <c r="I30" s="37">
        <v>0</v>
      </c>
      <c r="J30" s="37">
        <f>0.56/0.365</f>
        <v>1.534246575342466</v>
      </c>
      <c r="K30" s="30">
        <f>0.45/0.365</f>
        <v>1.2328767123287672</v>
      </c>
      <c r="L30" s="38">
        <f>0.01/0.365</f>
        <v>0.027397260273972605</v>
      </c>
    </row>
    <row r="31" spans="1:12" ht="12.75">
      <c r="A31" s="27" t="s">
        <v>54</v>
      </c>
      <c r="B31" s="69">
        <v>0.6872999999999999</v>
      </c>
      <c r="C31" s="70">
        <v>0.52</v>
      </c>
      <c r="D31" s="71">
        <v>0.4043785523877853</v>
      </c>
      <c r="E31" s="71">
        <v>0.2445443607830504</v>
      </c>
      <c r="F31" s="72">
        <v>0.14788604399929375</v>
      </c>
      <c r="G31" s="68" t="s">
        <v>45</v>
      </c>
      <c r="H31" s="82">
        <f>0.07/0.365</f>
        <v>0.19178082191780824</v>
      </c>
      <c r="I31" s="37">
        <f>0.15/0.365</f>
        <v>0.410958904109589</v>
      </c>
      <c r="J31" s="37">
        <f>0.3/0.365</f>
        <v>0.821917808219178</v>
      </c>
      <c r="K31" s="30">
        <f>0.3/0.365</f>
        <v>0.821917808219178</v>
      </c>
      <c r="L31" s="38">
        <f>0.06/0.365</f>
        <v>0.1643835616438356</v>
      </c>
    </row>
    <row r="32" spans="1:12" ht="12.75">
      <c r="A32" s="27" t="s">
        <v>55</v>
      </c>
      <c r="B32" s="69">
        <v>0.4011</v>
      </c>
      <c r="C32" s="70">
        <v>0.51</v>
      </c>
      <c r="D32" s="71">
        <v>0.41019904490346887</v>
      </c>
      <c r="E32" s="71">
        <v>0.2653649637982306</v>
      </c>
      <c r="F32" s="72">
        <v>0.17166925395501018</v>
      </c>
      <c r="G32" s="83" t="s">
        <v>56</v>
      </c>
      <c r="H32" s="79">
        <f>H33+H34</f>
        <v>0.9963972602739726</v>
      </c>
      <c r="I32" s="79">
        <f>I33+I34</f>
        <v>0.8735890410958904</v>
      </c>
      <c r="J32" s="79">
        <f>J33+J34</f>
        <v>0.9213698630136986</v>
      </c>
      <c r="K32" s="79">
        <f>K33+K34</f>
        <v>2.134027397260274</v>
      </c>
      <c r="L32" s="80">
        <f>L33+L34</f>
        <v>4.378589041095891</v>
      </c>
    </row>
    <row r="33" spans="1:12" ht="12.75">
      <c r="A33" s="27" t="s">
        <v>57</v>
      </c>
      <c r="B33" s="69">
        <v>0.5225</v>
      </c>
      <c r="C33" s="70">
        <v>0.475</v>
      </c>
      <c r="D33" s="71">
        <v>0.3463666809168519</v>
      </c>
      <c r="E33" s="71">
        <v>0.18417093997300105</v>
      </c>
      <c r="F33" s="72">
        <v>0.0979278233135862</v>
      </c>
      <c r="G33" s="68" t="s">
        <v>58</v>
      </c>
      <c r="H33" s="82">
        <v>0.969</v>
      </c>
      <c r="I33" s="37">
        <v>0.764</v>
      </c>
      <c r="J33" s="37">
        <v>0.62</v>
      </c>
      <c r="K33" s="30">
        <v>0.408</v>
      </c>
      <c r="L33" s="38">
        <v>0.269</v>
      </c>
    </row>
    <row r="34" spans="1:12" ht="12.75">
      <c r="A34" s="27" t="s">
        <v>59</v>
      </c>
      <c r="B34" s="69">
        <v>0.72</v>
      </c>
      <c r="C34" s="70">
        <v>0.44</v>
      </c>
      <c r="D34" s="71">
        <v>0.3447608144797753</v>
      </c>
      <c r="E34" s="71">
        <v>0.21166465407404492</v>
      </c>
      <c r="F34" s="72">
        <v>0.12995074817852686</v>
      </c>
      <c r="G34" s="68" t="s">
        <v>45</v>
      </c>
      <c r="H34" s="82">
        <f>0.01/0.365</f>
        <v>0.027397260273972605</v>
      </c>
      <c r="I34" s="37">
        <f>0.04/0.365</f>
        <v>0.10958904109589042</v>
      </c>
      <c r="J34" s="37">
        <f>0.11/0.365</f>
        <v>0.3013698630136986</v>
      </c>
      <c r="K34" s="30">
        <f>0.63/0.365</f>
        <v>1.726027397260274</v>
      </c>
      <c r="L34" s="38">
        <f>1.5/0.365</f>
        <v>4.109589041095891</v>
      </c>
    </row>
    <row r="35" spans="1:12" ht="13.5" thickBot="1">
      <c r="A35" s="39" t="s">
        <v>60</v>
      </c>
      <c r="B35" s="74">
        <v>0.275</v>
      </c>
      <c r="C35" s="75">
        <v>0.4</v>
      </c>
      <c r="D35" s="76">
        <v>1.095890410958904</v>
      </c>
      <c r="E35" s="76">
        <v>1.095890410958904</v>
      </c>
      <c r="F35" s="77">
        <v>0.6150186688746672</v>
      </c>
      <c r="G35" s="84" t="s">
        <v>61</v>
      </c>
      <c r="H35" s="40">
        <v>0</v>
      </c>
      <c r="I35" s="40">
        <v>0.1</v>
      </c>
      <c r="J35" s="40">
        <v>0.3</v>
      </c>
      <c r="K35" s="40">
        <v>0.5</v>
      </c>
      <c r="L35" s="85">
        <v>1</v>
      </c>
    </row>
    <row r="36" spans="1:12" ht="13.5" thickBot="1">
      <c r="A36" s="27" t="s">
        <v>62</v>
      </c>
      <c r="B36" s="69">
        <v>0.363</v>
      </c>
      <c r="C36" s="70">
        <v>0.378</v>
      </c>
      <c r="D36" s="71">
        <v>0.2588967188106813</v>
      </c>
      <c r="E36" s="71">
        <v>0.12144958617324826</v>
      </c>
      <c r="F36" s="72">
        <v>0.05697253348521276</v>
      </c>
      <c r="G36" s="86" t="s">
        <v>63</v>
      </c>
      <c r="H36" s="87">
        <f>H21+H26+H32+H35</f>
        <v>4.239438356164383</v>
      </c>
      <c r="I36" s="87">
        <f>I21+I26+I32+I35</f>
        <v>6.828027397260273</v>
      </c>
      <c r="J36" s="87">
        <f>J21+J26+J32+J35</f>
        <v>16.323986301369864</v>
      </c>
      <c r="K36" s="87">
        <f>K21+K26+K32+K35</f>
        <v>13.49858904109589</v>
      </c>
      <c r="L36" s="88">
        <f>L21+L26+L32+L35</f>
        <v>10.253328767123289</v>
      </c>
    </row>
    <row r="37" spans="1:12" ht="12.75">
      <c r="A37" s="27" t="s">
        <v>64</v>
      </c>
      <c r="B37" s="69">
        <v>0.28</v>
      </c>
      <c r="C37" s="70">
        <v>0.367</v>
      </c>
      <c r="D37" s="71">
        <v>0.25983256758041273</v>
      </c>
      <c r="E37" s="71">
        <v>0.13024127112706882</v>
      </c>
      <c r="F37" s="72">
        <v>0.06528353571206971</v>
      </c>
      <c r="G37" s="62" t="s">
        <v>65</v>
      </c>
      <c r="H37" s="89"/>
      <c r="I37" s="90" t="s">
        <v>66</v>
      </c>
      <c r="J37" s="91"/>
      <c r="K37" s="91"/>
      <c r="L37" s="92"/>
    </row>
    <row r="38" spans="1:12" ht="12.75">
      <c r="A38" s="27" t="s">
        <v>67</v>
      </c>
      <c r="B38" s="69">
        <v>0.354</v>
      </c>
      <c r="C38" s="70">
        <v>0.35</v>
      </c>
      <c r="D38" s="71">
        <v>0.2460857370417501</v>
      </c>
      <c r="E38" s="71">
        <v>0.12165311684902894</v>
      </c>
      <c r="F38" s="72">
        <v>0.06013953111216947</v>
      </c>
      <c r="G38" s="65" t="s">
        <v>68</v>
      </c>
      <c r="H38" s="34">
        <f>14.2/0.365</f>
        <v>38.90410958904109</v>
      </c>
      <c r="I38" s="34">
        <f>16.3/0.365</f>
        <v>44.657534246575345</v>
      </c>
      <c r="J38" s="34">
        <f>18/0.365</f>
        <v>49.31506849315068</v>
      </c>
      <c r="K38" s="35">
        <f>19.9/0.365</f>
        <v>54.52054794520548</v>
      </c>
      <c r="L38" s="36">
        <f>20.8/0.365</f>
        <v>56.986301369863014</v>
      </c>
    </row>
    <row r="39" spans="1:12" ht="12.75">
      <c r="A39" s="27" t="s">
        <v>69</v>
      </c>
      <c r="B39" s="69">
        <v>0.304</v>
      </c>
      <c r="C39" s="70">
        <v>0.34</v>
      </c>
      <c r="D39" s="71">
        <v>0.3150431944220921</v>
      </c>
      <c r="E39" s="71">
        <v>0.20567774895643676</v>
      </c>
      <c r="F39" s="72">
        <v>0.13427789320568342</v>
      </c>
      <c r="G39" s="65" t="s">
        <v>70</v>
      </c>
      <c r="H39" s="35">
        <f>0.5/0.365</f>
        <v>1.36986301369863</v>
      </c>
      <c r="I39" s="35">
        <f>0.7/0.365</f>
        <v>1.917808219178082</v>
      </c>
      <c r="J39" s="35">
        <f>0.9/0.365</f>
        <v>2.4657534246575343</v>
      </c>
      <c r="K39" s="35">
        <f>1.5/0.365</f>
        <v>4.109589041095891</v>
      </c>
      <c r="L39" s="36">
        <f>2.5/0.365</f>
        <v>6.8493150684931505</v>
      </c>
    </row>
    <row r="40" spans="1:12" ht="12.75">
      <c r="A40" s="39" t="s">
        <v>71</v>
      </c>
      <c r="B40" s="93">
        <v>0.185</v>
      </c>
      <c r="C40" s="93">
        <v>0.29</v>
      </c>
      <c r="D40" s="94">
        <v>0.30136986301369867</v>
      </c>
      <c r="E40" s="93">
        <v>0.21003053921654755</v>
      </c>
      <c r="F40" s="95">
        <v>0.12538847726246963</v>
      </c>
      <c r="G40" s="65" t="s">
        <v>63</v>
      </c>
      <c r="H40" s="96">
        <f>SUM(H38:H39)</f>
        <v>40.27397260273972</v>
      </c>
      <c r="I40" s="96">
        <f>SUM(I38:I39)</f>
        <v>46.57534246575343</v>
      </c>
      <c r="J40" s="96">
        <f>SUM(J38:J39)</f>
        <v>51.78082191780822</v>
      </c>
      <c r="K40" s="96">
        <f>SUM(K38:K39)</f>
        <v>58.630136986301366</v>
      </c>
      <c r="L40" s="97">
        <f>SUM(L38:L39)</f>
        <v>63.83561643835616</v>
      </c>
    </row>
    <row r="41" spans="1:12" ht="12.75">
      <c r="A41" s="27" t="s">
        <v>51</v>
      </c>
      <c r="B41" s="69">
        <v>0.360876712328767</v>
      </c>
      <c r="C41" s="70">
        <v>0.25513698630136966</v>
      </c>
      <c r="D41" s="71">
        <v>0.21284369625357955</v>
      </c>
      <c r="E41" s="71">
        <v>0.14812744581412482</v>
      </c>
      <c r="F41" s="72">
        <v>0.10308851325939837</v>
      </c>
      <c r="G41" s="65" t="s">
        <v>72</v>
      </c>
      <c r="H41" s="98"/>
      <c r="I41" s="98"/>
      <c r="J41" s="98"/>
      <c r="K41" s="98"/>
      <c r="L41" s="99"/>
    </row>
    <row r="42" spans="1:12" ht="13.5" thickBot="1">
      <c r="A42" s="27" t="s">
        <v>73</v>
      </c>
      <c r="B42" s="69">
        <v>0.265</v>
      </c>
      <c r="C42" s="70">
        <v>0.24</v>
      </c>
      <c r="D42" s="71">
        <v>0.1696107425646385</v>
      </c>
      <c r="E42" s="71">
        <v>0.08471056592469353</v>
      </c>
      <c r="F42" s="72">
        <v>0.04230793327578957</v>
      </c>
      <c r="G42" s="65" t="s">
        <v>74</v>
      </c>
      <c r="H42" s="96">
        <f>2.3/0.365</f>
        <v>6.301369863013698</v>
      </c>
      <c r="I42" s="96">
        <f>2.5/0.365</f>
        <v>6.8493150684931505</v>
      </c>
      <c r="J42" s="96">
        <f>3.2/0.365</f>
        <v>8.767123287671234</v>
      </c>
      <c r="K42" s="96">
        <f>3.6/0.365</f>
        <v>9.863013698630137</v>
      </c>
      <c r="L42" s="97">
        <f>3.8/0.365</f>
        <v>10.410958904109588</v>
      </c>
    </row>
    <row r="43" spans="1:12" ht="12.75">
      <c r="A43" s="27" t="s">
        <v>75</v>
      </c>
      <c r="B43" s="69">
        <v>0.325</v>
      </c>
      <c r="C43" s="70">
        <v>0.234</v>
      </c>
      <c r="D43" s="71">
        <v>0.1877263040146588</v>
      </c>
      <c r="E43" s="71">
        <v>0.120821347354328</v>
      </c>
      <c r="F43" s="72">
        <v>0.07776106845088313</v>
      </c>
      <c r="G43" s="62" t="s">
        <v>76</v>
      </c>
      <c r="H43" s="89"/>
      <c r="I43" s="89"/>
      <c r="J43" s="89"/>
      <c r="K43" s="89"/>
      <c r="L43" s="92"/>
    </row>
    <row r="44" spans="1:12" ht="12.75">
      <c r="A44" s="27" t="s">
        <v>77</v>
      </c>
      <c r="B44" s="69">
        <v>0.14</v>
      </c>
      <c r="C44" s="70">
        <v>0.22</v>
      </c>
      <c r="D44" s="71">
        <v>0.1857021714189402</v>
      </c>
      <c r="E44" s="71">
        <v>0.1323139346374165</v>
      </c>
      <c r="F44" s="72">
        <v>0.09427448890588982</v>
      </c>
      <c r="G44" s="73" t="s">
        <v>78</v>
      </c>
      <c r="H44" s="98">
        <f>H40</f>
        <v>40.27397260273972</v>
      </c>
      <c r="I44" s="98">
        <f>I40</f>
        <v>46.57534246575343</v>
      </c>
      <c r="J44" s="98">
        <f>J40</f>
        <v>51.78082191780822</v>
      </c>
      <c r="K44" s="98">
        <f>K40</f>
        <v>58.630136986301366</v>
      </c>
      <c r="L44" s="97">
        <f>L40</f>
        <v>63.83561643835616</v>
      </c>
    </row>
    <row r="45" spans="1:12" ht="12.75">
      <c r="A45" s="39" t="s">
        <v>79</v>
      </c>
      <c r="B45" s="74">
        <v>0.1779</v>
      </c>
      <c r="C45" s="75">
        <v>0.185</v>
      </c>
      <c r="D45" s="76">
        <v>0.14353735943474918</v>
      </c>
      <c r="E45" s="76">
        <v>0.08640749219498663</v>
      </c>
      <c r="F45" s="77">
        <v>0.05201610742198981</v>
      </c>
      <c r="G45" s="65" t="s">
        <v>80</v>
      </c>
      <c r="H45" s="98">
        <f>H17+H36+H42</f>
        <v>73.95880821917808</v>
      </c>
      <c r="I45" s="98">
        <f>I17+I36+I42</f>
        <v>79.98534246575343</v>
      </c>
      <c r="J45" s="98">
        <f>J17+J36+J42</f>
        <v>86.0751095890411</v>
      </c>
      <c r="K45" s="98">
        <f>K17+K36+K42</f>
        <v>71.66060273972603</v>
      </c>
      <c r="L45" s="97">
        <f>L17+L36+L42</f>
        <v>60.144287671232874</v>
      </c>
    </row>
    <row r="46" spans="1:12" ht="12.75">
      <c r="A46" s="27" t="s">
        <v>81</v>
      </c>
      <c r="B46" s="69">
        <v>0</v>
      </c>
      <c r="C46" s="70">
        <v>0.18</v>
      </c>
      <c r="D46" s="71">
        <v>0.24657534246575344</v>
      </c>
      <c r="E46" s="71">
        <v>0.13130865746862036</v>
      </c>
      <c r="F46" s="72">
        <v>0.0699257409674132</v>
      </c>
      <c r="G46" s="73" t="s">
        <v>82</v>
      </c>
      <c r="H46" s="66">
        <f>H45*0.02</f>
        <v>1.4791761643835617</v>
      </c>
      <c r="I46" s="66">
        <f>I45*0.02</f>
        <v>1.5997068493150688</v>
      </c>
      <c r="J46" s="66">
        <f>J45*0.02</f>
        <v>1.7215021917808222</v>
      </c>
      <c r="K46" s="66">
        <f>K45*0.02</f>
        <v>1.4332120547945206</v>
      </c>
      <c r="L46" s="67">
        <f>L45*0.02</f>
        <v>1.2028857534246575</v>
      </c>
    </row>
    <row r="47" spans="1:12" ht="13.5" thickBot="1">
      <c r="A47" s="27" t="s">
        <v>83</v>
      </c>
      <c r="B47" s="69">
        <v>0.111</v>
      </c>
      <c r="C47" s="100">
        <v>0.18</v>
      </c>
      <c r="D47" s="69">
        <v>0.1647355506730941</v>
      </c>
      <c r="E47" s="69">
        <v>0.07703677864742868</v>
      </c>
      <c r="F47" s="72">
        <v>0.03602540702431525</v>
      </c>
      <c r="G47" s="101" t="s">
        <v>84</v>
      </c>
      <c r="H47" s="102">
        <f>H45+H40+H46</f>
        <v>115.71195698630136</v>
      </c>
      <c r="I47" s="102">
        <f>I45+I40+I46</f>
        <v>128.16039178082193</v>
      </c>
      <c r="J47" s="102">
        <f>J45+J40+J46</f>
        <v>139.57743369863013</v>
      </c>
      <c r="K47" s="102">
        <f>K45+K40+K46</f>
        <v>131.72395178082192</v>
      </c>
      <c r="L47" s="103">
        <f>L45+L40+L46</f>
        <v>125.18278986301368</v>
      </c>
    </row>
    <row r="48" spans="1:12" ht="12.75">
      <c r="A48" s="27" t="s">
        <v>85</v>
      </c>
      <c r="B48" s="69">
        <v>0.155</v>
      </c>
      <c r="C48" s="70">
        <v>0.16</v>
      </c>
      <c r="D48" s="71">
        <v>0.15069638655610898</v>
      </c>
      <c r="E48" s="71">
        <v>0.09757197663816722</v>
      </c>
      <c r="F48" s="72">
        <v>0.06317530793304289</v>
      </c>
      <c r="G48" s="104" t="s">
        <v>86</v>
      </c>
      <c r="H48" s="105"/>
      <c r="I48" s="105"/>
      <c r="J48" s="105" t="s">
        <v>87</v>
      </c>
      <c r="K48" s="105"/>
      <c r="L48" s="106"/>
    </row>
    <row r="49" spans="1:12" ht="12.75">
      <c r="A49" s="27" t="s">
        <v>88</v>
      </c>
      <c r="B49" s="69">
        <v>0.119</v>
      </c>
      <c r="C49" s="70">
        <v>0.145</v>
      </c>
      <c r="D49" s="71">
        <v>0.12050787027080159</v>
      </c>
      <c r="E49" s="71">
        <v>0.08323581366425864</v>
      </c>
      <c r="F49" s="72">
        <v>0.05749168631710397</v>
      </c>
      <c r="G49" s="65" t="s">
        <v>89</v>
      </c>
      <c r="H49" s="107"/>
      <c r="I49" s="107"/>
      <c r="J49" s="107"/>
      <c r="K49" s="108"/>
      <c r="L49" s="99"/>
    </row>
    <row r="50" spans="1:12" ht="12.75">
      <c r="A50" s="39" t="s">
        <v>90</v>
      </c>
      <c r="B50" s="74">
        <v>0.09079999999999999</v>
      </c>
      <c r="C50" s="75">
        <v>0.115</v>
      </c>
      <c r="D50" s="76">
        <v>0.09357694468554499</v>
      </c>
      <c r="E50" s="76">
        <v>0.061959927802125246</v>
      </c>
      <c r="F50" s="77">
        <v>0.041025411399626475</v>
      </c>
      <c r="G50" s="65" t="s">
        <v>91</v>
      </c>
      <c r="H50" s="34">
        <f>H45+H46</f>
        <v>75.43798438356164</v>
      </c>
      <c r="I50" s="34">
        <f>I45+I46</f>
        <v>81.5850493150685</v>
      </c>
      <c r="J50" s="34">
        <f>J45+J46</f>
        <v>87.79661178082193</v>
      </c>
      <c r="K50" s="35">
        <f>K45+K46</f>
        <v>73.09381479452055</v>
      </c>
      <c r="L50" s="36">
        <f>L45+L46</f>
        <v>61.347173424657534</v>
      </c>
    </row>
    <row r="51" spans="1:12" ht="12.75">
      <c r="A51" s="27" t="s">
        <v>92</v>
      </c>
      <c r="B51" s="69">
        <v>0.098</v>
      </c>
      <c r="C51" s="70">
        <v>0.105</v>
      </c>
      <c r="D51" s="71">
        <v>0.09101680857391943</v>
      </c>
      <c r="E51" s="71">
        <v>0.06838899342737566</v>
      </c>
      <c r="F51" s="72">
        <v>0.05138671082068486</v>
      </c>
      <c r="G51" s="65" t="s">
        <v>93</v>
      </c>
      <c r="H51" s="34">
        <v>75</v>
      </c>
      <c r="I51" s="34">
        <v>82</v>
      </c>
      <c r="J51" s="34">
        <v>88.33</v>
      </c>
      <c r="K51" s="35">
        <v>102.52</v>
      </c>
      <c r="L51" s="36">
        <v>118.98</v>
      </c>
    </row>
    <row r="52" spans="1:12" ht="13.5" thickBot="1">
      <c r="A52" s="27" t="s">
        <v>94</v>
      </c>
      <c r="B52" s="69">
        <v>0.12290000000000001</v>
      </c>
      <c r="C52" s="70">
        <v>0.1</v>
      </c>
      <c r="D52" s="71">
        <v>0.09187379494837013</v>
      </c>
      <c r="E52" s="71">
        <v>0.07754877953682122</v>
      </c>
      <c r="F52" s="72">
        <v>0.06545732883930674</v>
      </c>
      <c r="G52" s="101" t="s">
        <v>86</v>
      </c>
      <c r="H52" s="35">
        <v>0</v>
      </c>
      <c r="I52" s="35">
        <f>I50-I51</f>
        <v>-0.41495068493149745</v>
      </c>
      <c r="J52" s="35">
        <f>J50-J51</f>
        <v>-0.5333882191780646</v>
      </c>
      <c r="K52" s="35">
        <f>K50-K51</f>
        <v>-29.42618520547944</v>
      </c>
      <c r="L52" s="36">
        <f>L50-L51</f>
        <v>-57.63282657534247</v>
      </c>
    </row>
    <row r="53" spans="1:12" ht="12.75">
      <c r="A53" s="27" t="s">
        <v>95</v>
      </c>
      <c r="B53" s="69">
        <v>0.073</v>
      </c>
      <c r="C53" s="70">
        <v>0.085</v>
      </c>
      <c r="D53" s="71">
        <v>0.07782857565746677</v>
      </c>
      <c r="E53" s="71">
        <v>0.06524983173120767</v>
      </c>
      <c r="F53" s="72">
        <v>0.05470407886800963</v>
      </c>
      <c r="G53" s="109" t="s">
        <v>96</v>
      </c>
      <c r="H53" s="110"/>
      <c r="I53" s="110"/>
      <c r="J53" s="110"/>
      <c r="K53" s="110"/>
      <c r="L53" s="111"/>
    </row>
    <row r="54" spans="1:12" ht="12.75">
      <c r="A54" s="27" t="s">
        <v>97</v>
      </c>
      <c r="B54" s="69">
        <v>0.085</v>
      </c>
      <c r="C54" s="70">
        <v>0.082</v>
      </c>
      <c r="D54" s="71">
        <v>0.060805425253293625</v>
      </c>
      <c r="E54" s="71">
        <v>0.033434842800983494</v>
      </c>
      <c r="F54" s="72">
        <v>0.018384687031950755</v>
      </c>
      <c r="G54" s="112" t="s">
        <v>98</v>
      </c>
      <c r="H54" s="113"/>
      <c r="I54" s="113"/>
      <c r="J54" s="113"/>
      <c r="K54" s="113"/>
      <c r="L54" s="114"/>
    </row>
    <row r="55" spans="1:12" ht="12.75">
      <c r="A55" s="39" t="s">
        <v>99</v>
      </c>
      <c r="B55" s="74">
        <v>0.07590000000000001</v>
      </c>
      <c r="C55" s="75">
        <v>0.072</v>
      </c>
      <c r="D55" s="76">
        <v>0.06028719472759092</v>
      </c>
      <c r="E55" s="76">
        <v>0.042267857502337254</v>
      </c>
      <c r="F55" s="77">
        <v>0.02963434915010647</v>
      </c>
      <c r="G55" t="s">
        <v>100</v>
      </c>
      <c r="L55" s="115"/>
    </row>
    <row r="56" spans="1:12" ht="12.75">
      <c r="A56" s="27" t="s">
        <v>101</v>
      </c>
      <c r="B56" s="69">
        <v>0.0625</v>
      </c>
      <c r="C56" s="70">
        <v>0.07</v>
      </c>
      <c r="D56" s="71">
        <v>0.0544969012364539</v>
      </c>
      <c r="E56" s="71">
        <v>0.0330308192372824</v>
      </c>
      <c r="F56" s="72">
        <v>0.02002012948868757</v>
      </c>
      <c r="G56" t="s">
        <v>102</v>
      </c>
      <c r="L56" s="115"/>
    </row>
    <row r="57" spans="1:12" ht="12.75">
      <c r="A57" s="116" t="s">
        <v>103</v>
      </c>
      <c r="B57" s="117">
        <v>0.0353</v>
      </c>
      <c r="C57" s="118">
        <v>0.064</v>
      </c>
      <c r="D57" s="117">
        <v>0.047196692060668274</v>
      </c>
      <c r="E57" s="117">
        <v>0.02566697775164408</v>
      </c>
      <c r="F57" s="119">
        <v>0.013958472895866419</v>
      </c>
      <c r="G57" s="120" t="s">
        <v>104</v>
      </c>
      <c r="H57" s="63"/>
      <c r="I57" s="63"/>
      <c r="J57" s="63"/>
      <c r="K57" s="63"/>
      <c r="L57" s="115"/>
    </row>
    <row r="58" spans="1:12" ht="12.75">
      <c r="A58" s="27" t="s">
        <v>105</v>
      </c>
      <c r="B58" s="69">
        <v>0.05</v>
      </c>
      <c r="C58" s="70">
        <v>0.05</v>
      </c>
      <c r="D58" s="71">
        <v>0.03637207248985393</v>
      </c>
      <c r="E58" s="71">
        <v>0.01924704825870899</v>
      </c>
      <c r="F58" s="72">
        <v>0.01018498098441903</v>
      </c>
      <c r="G58" s="112" t="s">
        <v>106</v>
      </c>
      <c r="H58" s="113"/>
      <c r="I58" s="113"/>
      <c r="J58" s="113"/>
      <c r="K58" s="113"/>
      <c r="L58" s="114"/>
    </row>
    <row r="59" spans="1:12" ht="12.75">
      <c r="A59" s="116" t="s">
        <v>107</v>
      </c>
      <c r="B59" s="117">
        <v>0.0697</v>
      </c>
      <c r="C59" s="118">
        <v>0.046</v>
      </c>
      <c r="D59" s="117">
        <v>0.03909464799237105</v>
      </c>
      <c r="E59" s="117">
        <v>0.02823815111126491</v>
      </c>
      <c r="F59" s="119">
        <v>0.02039647929144254</v>
      </c>
      <c r="G59" s="121" t="s">
        <v>108</v>
      </c>
      <c r="L59" s="115"/>
    </row>
    <row r="60" spans="1:12" ht="12.75">
      <c r="A60" s="39" t="s">
        <v>109</v>
      </c>
      <c r="B60" s="74">
        <v>0.0498</v>
      </c>
      <c r="C60" s="75">
        <v>0.044</v>
      </c>
      <c r="D60" s="76">
        <v>0.037079685347639495</v>
      </c>
      <c r="E60" s="76">
        <v>0.026333147237345856</v>
      </c>
      <c r="F60" s="77">
        <v>0.018701200857624858</v>
      </c>
      <c r="G60" t="s">
        <v>110</v>
      </c>
      <c r="L60" s="115"/>
    </row>
    <row r="61" spans="1:12" ht="12.75">
      <c r="A61" s="27" t="s">
        <v>111</v>
      </c>
      <c r="B61" s="69">
        <v>0.056</v>
      </c>
      <c r="C61" s="70">
        <v>0.042</v>
      </c>
      <c r="D61" s="71">
        <v>0.03340763758401363</v>
      </c>
      <c r="E61" s="71">
        <v>0.02113677460036721</v>
      </c>
      <c r="F61" s="72">
        <v>0.013373086899162112</v>
      </c>
      <c r="G61" s="112" t="s">
        <v>112</v>
      </c>
      <c r="H61" s="113"/>
      <c r="I61" s="113"/>
      <c r="J61" s="113"/>
      <c r="K61" s="113"/>
      <c r="L61" s="122"/>
    </row>
    <row r="62" spans="1:12" ht="12.75">
      <c r="A62" s="27" t="s">
        <v>113</v>
      </c>
      <c r="B62" s="69">
        <v>0.027600000000000003</v>
      </c>
      <c r="C62" s="70">
        <v>0.041</v>
      </c>
      <c r="D62" s="71">
        <v>0.0410958904109589</v>
      </c>
      <c r="E62" s="71">
        <v>0.03737607293878818</v>
      </c>
      <c r="F62" s="72">
        <v>0.0294836911814032</v>
      </c>
      <c r="G62" s="121" t="s">
        <v>114</v>
      </c>
      <c r="H62" s="121"/>
      <c r="I62" s="121"/>
      <c r="J62" s="121"/>
      <c r="K62" s="121"/>
      <c r="L62" s="115"/>
    </row>
    <row r="63" spans="1:12" ht="12.75">
      <c r="A63" s="27" t="s">
        <v>115</v>
      </c>
      <c r="B63" s="69">
        <v>0.03151</v>
      </c>
      <c r="C63" s="70">
        <v>0.034</v>
      </c>
      <c r="D63" s="71">
        <v>0.02988495825973592</v>
      </c>
      <c r="E63" s="71">
        <v>0.0230887343364495</v>
      </c>
      <c r="F63" s="72">
        <v>0.01783805915423931</v>
      </c>
      <c r="G63" t="s">
        <v>116</v>
      </c>
      <c r="L63" s="115"/>
    </row>
    <row r="64" spans="1:12" ht="12.75">
      <c r="A64" s="27" t="s">
        <v>117</v>
      </c>
      <c r="B64" s="69">
        <v>0.028399999999999998</v>
      </c>
      <c r="C64" s="70">
        <v>0.0216</v>
      </c>
      <c r="D64" s="71">
        <v>0.018501799321048243</v>
      </c>
      <c r="E64" s="71">
        <v>0.01357482988806687</v>
      </c>
      <c r="F64" s="72">
        <v>0.009959896510190514</v>
      </c>
      <c r="G64" t="s">
        <v>118</v>
      </c>
      <c r="L64" s="6"/>
    </row>
    <row r="65" spans="1:12" ht="12.75">
      <c r="A65" s="39" t="s">
        <v>119</v>
      </c>
      <c r="B65" s="74">
        <v>0.03065</v>
      </c>
      <c r="C65" s="75">
        <v>0.0202</v>
      </c>
      <c r="D65" s="76">
        <v>0.017883091991036163</v>
      </c>
      <c r="E65" s="76">
        <v>0.014016032402478212</v>
      </c>
      <c r="F65" s="77">
        <v>0.01098519005582416</v>
      </c>
      <c r="G65" s="121" t="s">
        <v>120</v>
      </c>
      <c r="H65" s="121"/>
      <c r="I65" s="121"/>
      <c r="J65" s="121"/>
      <c r="K65" s="121"/>
      <c r="L65" s="115"/>
    </row>
    <row r="66" spans="1:12" ht="12.75">
      <c r="A66" s="27" t="s">
        <v>121</v>
      </c>
      <c r="B66" s="69">
        <v>0.023</v>
      </c>
      <c r="C66" s="70">
        <v>0.0175</v>
      </c>
      <c r="D66" s="71">
        <v>0.016398532692997143</v>
      </c>
      <c r="E66" s="71">
        <v>0.01439921686612074</v>
      </c>
      <c r="F66" s="72">
        <v>0.012643658444277624</v>
      </c>
      <c r="G66" s="123" t="s">
        <v>122</v>
      </c>
      <c r="H66" s="113"/>
      <c r="I66" s="113"/>
      <c r="J66" s="113"/>
      <c r="K66" s="113"/>
      <c r="L66" s="114"/>
    </row>
    <row r="67" spans="1:12" ht="12.75">
      <c r="A67" s="27" t="s">
        <v>123</v>
      </c>
      <c r="B67" s="69">
        <v>0.019100000000000002</v>
      </c>
      <c r="C67" s="70">
        <v>0.0169</v>
      </c>
      <c r="D67" s="71">
        <v>0.014555994728264169</v>
      </c>
      <c r="E67" s="71">
        <v>0.010798222193677898</v>
      </c>
      <c r="F67" s="72">
        <v>0.00801055542549945</v>
      </c>
      <c r="G67" s="121" t="s">
        <v>124</v>
      </c>
      <c r="L67" s="115"/>
    </row>
    <row r="68" spans="1:12" ht="12.75">
      <c r="A68" s="27" t="s">
        <v>125</v>
      </c>
      <c r="B68" s="69">
        <v>0.007</v>
      </c>
      <c r="C68" s="70">
        <v>0.01</v>
      </c>
      <c r="D68" s="71">
        <v>0.007700693558732775</v>
      </c>
      <c r="E68" s="71">
        <v>0.0045665637440378045</v>
      </c>
      <c r="F68" s="72">
        <v>0.00270800341155144</v>
      </c>
      <c r="G68" s="121" t="s">
        <v>126</v>
      </c>
      <c r="L68" s="115"/>
    </row>
    <row r="69" spans="1:12" ht="13.5" thickBot="1">
      <c r="A69" s="124" t="s">
        <v>127</v>
      </c>
      <c r="B69" s="125">
        <v>0.005900000000000001</v>
      </c>
      <c r="C69" s="126">
        <v>0.006</v>
      </c>
      <c r="D69" s="127">
        <v>0.005750907314276889</v>
      </c>
      <c r="E69" s="127">
        <v>0.005283316206558805</v>
      </c>
      <c r="F69" s="128">
        <v>0.004853743698701346</v>
      </c>
      <c r="G69" s="129" t="s">
        <v>128</v>
      </c>
      <c r="H69" s="129"/>
      <c r="I69" s="129"/>
      <c r="J69" s="129"/>
      <c r="K69" s="129"/>
      <c r="L69" s="130"/>
    </row>
    <row r="7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ASPO Ireland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Campbell</dc:creator>
  <cp:keywords/>
  <dc:description/>
  <cp:lastModifiedBy>rbs</cp:lastModifiedBy>
  <dcterms:created xsi:type="dcterms:W3CDTF">2006-08-15T16:36:14Z</dcterms:created>
  <dcterms:modified xsi:type="dcterms:W3CDTF">2006-08-15T21:16:54Z</dcterms:modified>
  <cp:category/>
  <cp:version/>
  <cp:contentType/>
  <cp:contentStatus/>
</cp:coreProperties>
</file>